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omments1.xml" ContentType="application/vnd.openxmlformats-officedocument.spreadsheetml.comments+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ml.chartshapes+xml"/>
  <Override PartName="/xl/charts/chart5.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Marcello\MOTO\"/>
    </mc:Choice>
  </mc:AlternateContent>
  <bookViews>
    <workbookView xWindow="12540" yWindow="-34" windowWidth="4277" windowHeight="13594" tabRatio="607"/>
  </bookViews>
  <sheets>
    <sheet name="Consumi" sheetId="1" r:id="rId1"/>
    <sheet name="Totale" sheetId="3" r:id="rId2"/>
    <sheet name="Mesi" sheetId="4" r:id="rId3"/>
    <sheet name="Spiegazioni" sheetId="8" r:id="rId4"/>
    <sheet name="Foglio15" sheetId="15" r:id="rId5"/>
    <sheet name="Foglio16" sheetId="16" r:id="rId6"/>
  </sheets>
  <definedNames>
    <definedName name="_xlnm._FilterDatabase" localSheetId="0" hidden="1">Consumi!$B$121:$N$121</definedName>
    <definedName name="_xlnm.Print_Area" localSheetId="0">Consumi!$A$1:$N$123</definedName>
    <definedName name="_xlnm.Print_Area" localSheetId="2">Mesi!$A:$Y</definedName>
    <definedName name="_xlnm.Print_Area" localSheetId="1">Totale!$A:$P</definedName>
    <definedName name="_xlnm.Print_Titles" localSheetId="0">Consumi!$1:$1</definedName>
  </definedNames>
  <calcPr calcId="152511"/>
  <fileRecoveryPr autoRecover="0"/>
</workbook>
</file>

<file path=xl/calcChain.xml><?xml version="1.0" encoding="utf-8"?>
<calcChain xmlns="http://schemas.openxmlformats.org/spreadsheetml/2006/main">
  <c r="F69" i="3" l="1"/>
  <c r="K68" i="3"/>
  <c r="D68" i="3" s="1"/>
  <c r="C82" i="3"/>
  <c r="G82" i="3" s="1"/>
  <c r="C83" i="3"/>
  <c r="E83" i="3" s="1"/>
  <c r="L79" i="3"/>
  <c r="C79" i="3"/>
  <c r="L78" i="3"/>
  <c r="C78" i="3"/>
  <c r="L77" i="3"/>
  <c r="C77" i="3"/>
  <c r="L76" i="3"/>
  <c r="C76" i="3"/>
  <c r="L74" i="3"/>
  <c r="L75" i="3"/>
  <c r="C75" i="3"/>
  <c r="G83" i="3" l="1"/>
  <c r="H83" i="3" s="1"/>
  <c r="D83" i="3"/>
  <c r="F83" i="3" s="1"/>
  <c r="H82" i="3"/>
  <c r="I82" i="3"/>
  <c r="I83" i="3"/>
  <c r="F68" i="3"/>
  <c r="E68" i="3"/>
  <c r="C74" i="3"/>
  <c r="G74" i="3" s="1"/>
  <c r="L73" i="3"/>
  <c r="C73" i="3"/>
  <c r="G73" i="3" s="1"/>
  <c r="L72" i="3"/>
  <c r="C72" i="3" l="1"/>
  <c r="D116" i="1"/>
  <c r="D115" i="1"/>
  <c r="D114" i="1"/>
  <c r="F114" i="1"/>
  <c r="F115" i="1"/>
  <c r="F116" i="1"/>
  <c r="E115" i="1" l="1"/>
  <c r="D72" i="3"/>
  <c r="E72" i="3" s="1"/>
  <c r="G72" i="3"/>
  <c r="E116" i="1"/>
  <c r="H116" i="1" s="1"/>
  <c r="H115" i="1"/>
  <c r="D109" i="1"/>
  <c r="F109" i="1"/>
  <c r="D110" i="1"/>
  <c r="E110" i="1" s="1"/>
  <c r="F110" i="1"/>
  <c r="D111" i="1"/>
  <c r="F111" i="1"/>
  <c r="D112" i="1"/>
  <c r="E112" i="1" s="1"/>
  <c r="F112" i="1"/>
  <c r="D113" i="1"/>
  <c r="E114" i="1" s="1"/>
  <c r="H114" i="1" s="1"/>
  <c r="F113" i="1"/>
  <c r="H112" i="1" l="1"/>
  <c r="E113" i="1"/>
  <c r="E111" i="1"/>
  <c r="H113" i="1"/>
  <c r="H111" i="1"/>
  <c r="H110" i="1"/>
  <c r="D108" i="1"/>
  <c r="E109" i="1" s="1"/>
  <c r="H109" i="1" s="1"/>
  <c r="D107" i="1"/>
  <c r="D106" i="1"/>
  <c r="D105" i="1"/>
  <c r="F108" i="1"/>
  <c r="F107" i="1"/>
  <c r="F106" i="1"/>
  <c r="F105" i="1"/>
  <c r="F104" i="1"/>
  <c r="F103" i="1" l="1"/>
  <c r="D104" i="1"/>
  <c r="D103" i="1"/>
  <c r="E104" i="1" l="1"/>
  <c r="H104" i="1" s="1"/>
  <c r="F102" i="1"/>
  <c r="D102" i="1"/>
  <c r="F101" i="1"/>
  <c r="D101" i="1"/>
  <c r="F100" i="1"/>
  <c r="D100" i="1"/>
  <c r="K92" i="1"/>
  <c r="J92" i="1"/>
  <c r="J91" i="1"/>
  <c r="K91" i="1"/>
  <c r="J90" i="1"/>
  <c r="K90" i="1"/>
  <c r="J89" i="1"/>
  <c r="J88" i="1"/>
  <c r="K88" i="1"/>
  <c r="J87" i="1"/>
  <c r="K87" i="1"/>
  <c r="J86" i="1"/>
  <c r="K86" i="1"/>
  <c r="J85" i="1"/>
  <c r="K85" i="1"/>
  <c r="K84" i="1" l="1"/>
  <c r="J84" i="1"/>
  <c r="J83" i="1"/>
  <c r="K83" i="1"/>
  <c r="K82" i="1"/>
  <c r="J82" i="1"/>
  <c r="J81" i="1"/>
  <c r="K81" i="1"/>
  <c r="J80" i="1"/>
  <c r="K80" i="1"/>
  <c r="J79" i="1"/>
  <c r="J78" i="1"/>
  <c r="K78" i="1"/>
  <c r="J77" i="1"/>
  <c r="K77" i="1"/>
  <c r="J76" i="1"/>
  <c r="K76" i="1"/>
  <c r="K75" i="1"/>
  <c r="J75" i="1"/>
  <c r="K89" i="1"/>
  <c r="K79" i="1"/>
  <c r="J74" i="1"/>
  <c r="K74" i="1"/>
  <c r="K123" i="1" l="1"/>
  <c r="K122" i="1"/>
  <c r="J122" i="1"/>
  <c r="J123" i="1"/>
  <c r="D63" i="1"/>
  <c r="F63" i="1"/>
  <c r="D64" i="1"/>
  <c r="F64" i="1"/>
  <c r="D65" i="1"/>
  <c r="F65" i="1"/>
  <c r="D66" i="1"/>
  <c r="F66" i="1"/>
  <c r="D67" i="1"/>
  <c r="F67" i="1"/>
  <c r="D68" i="1"/>
  <c r="F68" i="1"/>
  <c r="D69" i="1"/>
  <c r="F69" i="1"/>
  <c r="D70" i="1"/>
  <c r="F70" i="1"/>
  <c r="D71" i="1"/>
  <c r="F71" i="1"/>
  <c r="D72" i="1"/>
  <c r="F72" i="1"/>
  <c r="D73" i="1"/>
  <c r="F73" i="1"/>
  <c r="D74" i="1"/>
  <c r="F74" i="1"/>
  <c r="D75" i="1"/>
  <c r="F75" i="1"/>
  <c r="D76" i="1"/>
  <c r="E103" i="1" s="1"/>
  <c r="H103" i="1" s="1"/>
  <c r="D77" i="1"/>
  <c r="F77" i="1"/>
  <c r="D78" i="1"/>
  <c r="F78" i="1"/>
  <c r="D79" i="1"/>
  <c r="F79" i="1"/>
  <c r="D80" i="1"/>
  <c r="F80" i="1"/>
  <c r="D81" i="1"/>
  <c r="F81" i="1"/>
  <c r="D82" i="1"/>
  <c r="F82" i="1"/>
  <c r="D83" i="1"/>
  <c r="F83" i="1"/>
  <c r="D84" i="1"/>
  <c r="F84" i="1"/>
  <c r="D85" i="1"/>
  <c r="F85" i="1"/>
  <c r="D86" i="1"/>
  <c r="F86" i="1"/>
  <c r="D87" i="1"/>
  <c r="F87" i="1"/>
  <c r="D88" i="1"/>
  <c r="F88" i="1"/>
  <c r="D89" i="1"/>
  <c r="F89" i="1"/>
  <c r="D90" i="1"/>
  <c r="F90" i="1"/>
  <c r="D91" i="1"/>
  <c r="F91" i="1"/>
  <c r="D92" i="1"/>
  <c r="F92" i="1"/>
  <c r="D93" i="1"/>
  <c r="F93" i="1"/>
  <c r="D94" i="1"/>
  <c r="F94" i="1"/>
  <c r="D95" i="1"/>
  <c r="F95" i="1"/>
  <c r="D96" i="1"/>
  <c r="F96" i="1"/>
  <c r="D97" i="1"/>
  <c r="F97" i="1"/>
  <c r="D98" i="1"/>
  <c r="F98" i="1"/>
  <c r="D99" i="1"/>
  <c r="F99" i="1"/>
  <c r="E99" i="1" l="1"/>
  <c r="E98" i="1"/>
  <c r="H98" i="1" s="1"/>
  <c r="E97" i="1"/>
  <c r="H97" i="1" s="1"/>
  <c r="E96" i="1"/>
  <c r="H96" i="1" s="1"/>
  <c r="E94" i="1"/>
  <c r="H94" i="1" s="1"/>
  <c r="E93" i="1"/>
  <c r="H93" i="1" s="1"/>
  <c r="E90" i="1"/>
  <c r="H90" i="1" s="1"/>
  <c r="E87" i="1"/>
  <c r="H87" i="1" s="1"/>
  <c r="E86" i="1"/>
  <c r="H86" i="1" s="1"/>
  <c r="E85" i="1"/>
  <c r="H85" i="1" s="1"/>
  <c r="E84" i="1"/>
  <c r="H84" i="1" s="1"/>
  <c r="E83" i="1"/>
  <c r="H83" i="1" s="1"/>
  <c r="E82" i="1"/>
  <c r="H82" i="1" s="1"/>
  <c r="E79" i="1"/>
  <c r="H79" i="1" s="1"/>
  <c r="E77" i="1"/>
  <c r="H77" i="1" s="1"/>
  <c r="E76" i="1"/>
  <c r="E74" i="1"/>
  <c r="H74" i="1" s="1"/>
  <c r="E72" i="1"/>
  <c r="E68" i="1"/>
  <c r="H68" i="1" s="1"/>
  <c r="E67" i="1"/>
  <c r="H67" i="1" s="1"/>
  <c r="E66" i="1"/>
  <c r="H66" i="1" s="1"/>
  <c r="E64" i="1"/>
  <c r="H64" i="1" s="1"/>
  <c r="H99" i="1"/>
  <c r="H72" i="1"/>
  <c r="D62" i="1"/>
  <c r="F62" i="1"/>
  <c r="D60" i="1"/>
  <c r="E63" i="1" s="1"/>
  <c r="H63" i="1" s="1"/>
  <c r="F60" i="1"/>
  <c r="D61" i="1"/>
  <c r="E61" i="1" s="1"/>
  <c r="F61" i="1"/>
  <c r="D50" i="1"/>
  <c r="F50" i="1"/>
  <c r="D51" i="1"/>
  <c r="E65" i="1" s="1"/>
  <c r="H65" i="1" s="1"/>
  <c r="F51" i="1"/>
  <c r="D52" i="1"/>
  <c r="F52" i="1"/>
  <c r="D53" i="1"/>
  <c r="F53" i="1"/>
  <c r="D54" i="1"/>
  <c r="F54" i="1"/>
  <c r="D55" i="1"/>
  <c r="F55" i="1"/>
  <c r="D56" i="1"/>
  <c r="F56" i="1"/>
  <c r="D57" i="1"/>
  <c r="F57" i="1"/>
  <c r="D58" i="1"/>
  <c r="F58" i="1"/>
  <c r="D59" i="1"/>
  <c r="E59" i="1" s="1"/>
  <c r="F59" i="1"/>
  <c r="F49" i="1"/>
  <c r="D49" i="1"/>
  <c r="E58" i="1" l="1"/>
  <c r="E54" i="1"/>
  <c r="H54" i="1" s="1"/>
  <c r="E92" i="1"/>
  <c r="H92" i="1" s="1"/>
  <c r="E60" i="1"/>
  <c r="H60" i="1" s="1"/>
  <c r="E50" i="1"/>
  <c r="H50" i="1" s="1"/>
  <c r="H61" i="1"/>
  <c r="H59" i="1"/>
  <c r="H58" i="1"/>
  <c r="D48" i="1"/>
  <c r="F48" i="1"/>
  <c r="E49" i="1" l="1"/>
  <c r="H49" i="1" s="1"/>
  <c r="D47" i="1"/>
  <c r="F47" i="1"/>
  <c r="D44" i="1"/>
  <c r="E62" i="1" s="1"/>
  <c r="H62" i="1" s="1"/>
  <c r="F44" i="1"/>
  <c r="D45" i="1"/>
  <c r="F45" i="1"/>
  <c r="D46" i="1"/>
  <c r="F46" i="1"/>
  <c r="E46" i="1" l="1"/>
  <c r="H46" i="1" s="1"/>
  <c r="E55" i="1"/>
  <c r="H55" i="1" s="1"/>
  <c r="E47" i="1"/>
  <c r="H47" i="1" s="1"/>
  <c r="D43" i="1"/>
  <c r="F43" i="1"/>
  <c r="E75" i="1" l="1"/>
  <c r="H75" i="1" s="1"/>
  <c r="D42" i="1"/>
  <c r="E91" i="1" s="1"/>
  <c r="H91" i="1" s="1"/>
  <c r="F42" i="1"/>
  <c r="E43" i="1" l="1"/>
  <c r="H43" i="1" s="1"/>
  <c r="D38" i="1"/>
  <c r="E73" i="1" s="1"/>
  <c r="H73" i="1" s="1"/>
  <c r="F38" i="1"/>
  <c r="D39" i="1"/>
  <c r="E80" i="1" s="1"/>
  <c r="H80" i="1" s="1"/>
  <c r="F39" i="1"/>
  <c r="D40" i="1"/>
  <c r="F40" i="1"/>
  <c r="D41" i="1"/>
  <c r="F41" i="1"/>
  <c r="E42" i="1" l="1"/>
  <c r="H42" i="1" s="1"/>
  <c r="E39" i="1"/>
  <c r="H39" i="1" s="1"/>
  <c r="D37" i="1"/>
  <c r="E38" i="1" s="1"/>
  <c r="H38" i="1" s="1"/>
  <c r="F37" i="1"/>
  <c r="D36" i="1" l="1"/>
  <c r="F36" i="1"/>
  <c r="D27" i="1"/>
  <c r="F27" i="1"/>
  <c r="D28" i="1"/>
  <c r="F28" i="1"/>
  <c r="D29" i="1"/>
  <c r="F29" i="1"/>
  <c r="D30" i="1"/>
  <c r="F30" i="1"/>
  <c r="D31" i="1"/>
  <c r="E78" i="1" s="1"/>
  <c r="H78" i="1" s="1"/>
  <c r="F31" i="1"/>
  <c r="D32" i="1"/>
  <c r="E53" i="1" s="1"/>
  <c r="H53" i="1" s="1"/>
  <c r="F32" i="1"/>
  <c r="D33" i="1"/>
  <c r="F33" i="1"/>
  <c r="D34" i="1"/>
  <c r="E102" i="1" s="1"/>
  <c r="H102" i="1" s="1"/>
  <c r="F34" i="1"/>
  <c r="D35" i="1"/>
  <c r="E56" i="1" s="1"/>
  <c r="H56" i="1" s="1"/>
  <c r="F35" i="1"/>
  <c r="E29" i="1" l="1"/>
  <c r="H29" i="1" s="1"/>
  <c r="E69" i="1"/>
  <c r="H69" i="1" s="1"/>
  <c r="E37" i="1"/>
  <c r="H37" i="1" s="1"/>
  <c r="E105" i="1"/>
  <c r="H105" i="1" s="1"/>
  <c r="E36" i="1"/>
  <c r="H36" i="1" s="1"/>
  <c r="E35" i="1"/>
  <c r="H35" i="1" s="1"/>
  <c r="E34" i="1"/>
  <c r="H34" i="1" s="1"/>
  <c r="E33" i="1"/>
  <c r="H33" i="1" s="1"/>
  <c r="E32" i="1"/>
  <c r="E31" i="1"/>
  <c r="H31" i="1" s="1"/>
  <c r="H32" i="1"/>
  <c r="E28" i="1"/>
  <c r="H28" i="1" s="1"/>
  <c r="F26" i="1"/>
  <c r="D26" i="1"/>
  <c r="E106" i="1" s="1"/>
  <c r="H106" i="1" s="1"/>
  <c r="E27" i="1" l="1"/>
  <c r="H27" i="1" s="1"/>
  <c r="D19" i="1"/>
  <c r="E57" i="1" s="1"/>
  <c r="H57" i="1" s="1"/>
  <c r="F19" i="1"/>
  <c r="D20" i="1"/>
  <c r="E107" i="1" s="1"/>
  <c r="H107" i="1" s="1"/>
  <c r="F20" i="1"/>
  <c r="D21" i="1"/>
  <c r="F21" i="1"/>
  <c r="D22" i="1"/>
  <c r="E88" i="1" s="1"/>
  <c r="H88" i="1" s="1"/>
  <c r="F22" i="1"/>
  <c r="D23" i="1"/>
  <c r="F23" i="1"/>
  <c r="D24" i="1"/>
  <c r="E81" i="1" s="1"/>
  <c r="H81" i="1" s="1"/>
  <c r="F24" i="1"/>
  <c r="D25" i="1"/>
  <c r="F25" i="1"/>
  <c r="E25" i="1" l="1"/>
  <c r="H25" i="1" s="1"/>
  <c r="E100" i="1"/>
  <c r="H100" i="1" s="1"/>
  <c r="E23" i="1"/>
  <c r="E101" i="1"/>
  <c r="H101" i="1" s="1"/>
  <c r="E21" i="1"/>
  <c r="H21" i="1" s="1"/>
  <c r="E108" i="1"/>
  <c r="H108" i="1" s="1"/>
  <c r="H23" i="1"/>
  <c r="E26" i="1"/>
  <c r="H26" i="1" s="1"/>
  <c r="E24" i="1"/>
  <c r="E22" i="1"/>
  <c r="H22" i="1" s="1"/>
  <c r="H24" i="1"/>
  <c r="E20" i="1"/>
  <c r="H20" i="1" s="1"/>
  <c r="D17" i="1"/>
  <c r="F17" i="1"/>
  <c r="D18" i="1"/>
  <c r="F18" i="1"/>
  <c r="E19" i="1" l="1"/>
  <c r="H19" i="1" s="1"/>
  <c r="E40" i="1"/>
  <c r="H40" i="1" s="1"/>
  <c r="E18" i="1"/>
  <c r="H18" i="1" s="1"/>
  <c r="D3" i="1"/>
  <c r="E48" i="1" s="1"/>
  <c r="H48" i="1" s="1"/>
  <c r="D4" i="1"/>
  <c r="E71" i="1" s="1"/>
  <c r="H71" i="1" s="1"/>
  <c r="D5" i="1"/>
  <c r="E70" i="1" s="1"/>
  <c r="H70" i="1" s="1"/>
  <c r="D6" i="1"/>
  <c r="D7" i="1"/>
  <c r="D8" i="1"/>
  <c r="D9" i="1"/>
  <c r="E89" i="1" s="1"/>
  <c r="H89" i="1" s="1"/>
  <c r="D10" i="1"/>
  <c r="E44" i="1" s="1"/>
  <c r="H44" i="1" s="1"/>
  <c r="D11" i="1"/>
  <c r="E52" i="1" s="1"/>
  <c r="H52" i="1" s="1"/>
  <c r="D12" i="1"/>
  <c r="E30" i="1" s="1"/>
  <c r="H30" i="1" s="1"/>
  <c r="D13" i="1"/>
  <c r="E45" i="1" s="1"/>
  <c r="H45" i="1" s="1"/>
  <c r="D14" i="1"/>
  <c r="E95" i="1" s="1"/>
  <c r="H95" i="1" s="1"/>
  <c r="D15" i="1"/>
  <c r="E51" i="1" s="1"/>
  <c r="H51" i="1" s="1"/>
  <c r="D16" i="1"/>
  <c r="E41" i="1" s="1"/>
  <c r="H41" i="1" s="1"/>
  <c r="D2" i="1"/>
  <c r="F13" i="1"/>
  <c r="F14" i="1"/>
  <c r="F15" i="1"/>
  <c r="F16" i="1"/>
  <c r="E3" i="1" l="1"/>
  <c r="E7" i="1"/>
  <c r="E9" i="1"/>
  <c r="E11" i="1"/>
  <c r="E13" i="1"/>
  <c r="H13" i="1" s="1"/>
  <c r="E15" i="1"/>
  <c r="E17" i="1"/>
  <c r="H17" i="1" s="1"/>
  <c r="E6" i="1"/>
  <c r="E8" i="1"/>
  <c r="E10" i="1"/>
  <c r="E12" i="1"/>
  <c r="E14" i="1"/>
  <c r="H14" i="1" s="1"/>
  <c r="E5" i="1"/>
  <c r="E4" i="1"/>
  <c r="E16" i="1"/>
  <c r="H16" i="1" s="1"/>
  <c r="H15" i="1"/>
  <c r="F12" i="1"/>
  <c r="F11" i="1"/>
  <c r="E123" i="1" l="1"/>
  <c r="E122" i="1"/>
  <c r="H12" i="1"/>
  <c r="H11" i="1"/>
  <c r="F8" i="1" l="1"/>
  <c r="F9" i="1"/>
  <c r="F10" i="1"/>
  <c r="H8" i="1" l="1"/>
  <c r="H10" i="1"/>
  <c r="H9" i="1"/>
  <c r="F7" i="1"/>
  <c r="H7" i="1" l="1"/>
  <c r="F6" i="1"/>
  <c r="F5" i="1"/>
  <c r="H6" i="1" l="1"/>
  <c r="H5" i="1"/>
  <c r="F4" i="1"/>
  <c r="H4" i="1" s="1"/>
  <c r="V8" i="4"/>
  <c r="V7" i="4"/>
  <c r="Z18" i="4"/>
  <c r="R16" i="4"/>
  <c r="S5" i="4"/>
  <c r="F3" i="1"/>
  <c r="H3" i="1" s="1"/>
  <c r="Q16" i="4"/>
  <c r="P16" i="4"/>
  <c r="C18" i="4"/>
  <c r="AA20" i="4"/>
  <c r="O16" i="4"/>
  <c r="O7" i="4"/>
  <c r="N14" i="4"/>
  <c r="C84" i="3"/>
  <c r="G84" i="3" s="1"/>
  <c r="L5" i="4"/>
  <c r="G75" i="3"/>
  <c r="I75" i="3" s="1"/>
  <c r="M8" i="4"/>
  <c r="G79" i="3"/>
  <c r="L10" i="4"/>
  <c r="M10" i="4"/>
  <c r="C80" i="3"/>
  <c r="D80" i="3" s="1"/>
  <c r="F80" i="3" s="1"/>
  <c r="C81" i="3"/>
  <c r="G14" i="4"/>
  <c r="T78" i="3" s="1"/>
  <c r="N16" i="4"/>
  <c r="G16" i="4"/>
  <c r="H16" i="4"/>
  <c r="I16" i="4"/>
  <c r="J16" i="4"/>
  <c r="K16" i="4"/>
  <c r="L16" i="4"/>
  <c r="M16" i="4"/>
  <c r="D19" i="4"/>
  <c r="E19" i="4" s="1"/>
  <c r="C31" i="4"/>
  <c r="F20" i="4" s="1"/>
  <c r="D20" i="4"/>
  <c r="E20" i="4" s="1"/>
  <c r="D21" i="4"/>
  <c r="D22" i="4"/>
  <c r="E22" i="4" s="1"/>
  <c r="D23" i="4"/>
  <c r="E23" i="4" s="1"/>
  <c r="D24" i="4"/>
  <c r="E24" i="4"/>
  <c r="D25" i="4"/>
  <c r="E25" i="4" s="1"/>
  <c r="D26" i="4"/>
  <c r="E26" i="4" s="1"/>
  <c r="D27" i="4"/>
  <c r="E27" i="4" s="1"/>
  <c r="D28" i="4"/>
  <c r="E28" i="4"/>
  <c r="D29" i="4"/>
  <c r="E29" i="4" s="1"/>
  <c r="D30" i="4"/>
  <c r="E30" i="4" s="1"/>
  <c r="A16" i="3"/>
  <c r="A17" i="3"/>
  <c r="A18" i="3"/>
  <c r="D57" i="3"/>
  <c r="D58" i="3" s="1"/>
  <c r="K67" i="3"/>
  <c r="L83" i="3"/>
  <c r="O79" i="3"/>
  <c r="P79" i="3" s="1"/>
  <c r="L80" i="3"/>
  <c r="O80" i="3" s="1"/>
  <c r="P80" i="3" s="1"/>
  <c r="L81" i="3"/>
  <c r="L82" i="3"/>
  <c r="H84" i="3"/>
  <c r="L84" i="3"/>
  <c r="P11" i="4"/>
  <c r="O8" i="4"/>
  <c r="M83" i="3"/>
  <c r="F28" i="4"/>
  <c r="F23" i="4"/>
  <c r="F21" i="4"/>
  <c r="M3" i="4"/>
  <c r="I3" i="4"/>
  <c r="O4" i="4"/>
  <c r="P7" i="4"/>
  <c r="Q10" i="4"/>
  <c r="R3" i="4"/>
  <c r="Q13" i="4"/>
  <c r="R8" i="4"/>
  <c r="R9" i="4"/>
  <c r="R10" i="4"/>
  <c r="S8" i="4"/>
  <c r="M84" i="3"/>
  <c r="H79" i="3"/>
  <c r="D79" i="3"/>
  <c r="F79" i="3" s="1"/>
  <c r="M78" i="3"/>
  <c r="D76" i="3"/>
  <c r="F76" i="3" s="1"/>
  <c r="H14" i="4"/>
  <c r="AA14" i="4"/>
  <c r="K2" i="4"/>
  <c r="H12" i="4"/>
  <c r="K11" i="4"/>
  <c r="J10" i="4"/>
  <c r="M9" i="4"/>
  <c r="I9" i="4"/>
  <c r="L8" i="4"/>
  <c r="H8" i="4"/>
  <c r="E76" i="3"/>
  <c r="G7" i="4" s="1"/>
  <c r="J6" i="4"/>
  <c r="R7" i="4"/>
  <c r="S7" i="4"/>
  <c r="O10" i="4"/>
  <c r="P6" i="4"/>
  <c r="O82" i="3"/>
  <c r="P82" i="3" s="1"/>
  <c r="M79" i="3"/>
  <c r="O78" i="3"/>
  <c r="P78" i="3" s="1"/>
  <c r="O76" i="3"/>
  <c r="P76" i="3" s="1"/>
  <c r="I14" i="4"/>
  <c r="J2" i="4"/>
  <c r="H2" i="4"/>
  <c r="N2" i="4"/>
  <c r="O6" i="4"/>
  <c r="S10" i="4"/>
  <c r="T2" i="4"/>
  <c r="T4" i="4"/>
  <c r="F25" i="4"/>
  <c r="F29" i="4"/>
  <c r="J13" i="4"/>
  <c r="J14" i="4"/>
  <c r="N10" i="4"/>
  <c r="N7" i="4"/>
  <c r="I2" i="4"/>
  <c r="K9" i="4"/>
  <c r="J8" i="4"/>
  <c r="I7" i="4"/>
  <c r="H6" i="4"/>
  <c r="N4" i="4"/>
  <c r="E75" i="3"/>
  <c r="G6" i="4" s="1"/>
  <c r="D75" i="3"/>
  <c r="F75" i="3" s="1"/>
  <c r="F72" i="3"/>
  <c r="D73" i="3"/>
  <c r="F73" i="3" s="1"/>
  <c r="O77" i="3"/>
  <c r="P77" i="3" s="1"/>
  <c r="F27" i="4"/>
  <c r="P4" i="4"/>
  <c r="R4" i="4"/>
  <c r="S15" i="4"/>
  <c r="T6" i="4"/>
  <c r="T8" i="4"/>
  <c r="T7" i="4"/>
  <c r="T5" i="4"/>
  <c r="T11" i="4"/>
  <c r="T12" i="4"/>
  <c r="U2" i="4"/>
  <c r="T13" i="4"/>
  <c r="H73" i="3"/>
  <c r="I73" i="3"/>
  <c r="D74" i="3"/>
  <c r="F74" i="3" s="1"/>
  <c r="J3" i="4"/>
  <c r="J11" i="4"/>
  <c r="I10" i="4"/>
  <c r="E74" i="3"/>
  <c r="G5" i="4" s="1"/>
  <c r="K4" i="4"/>
  <c r="N3" i="4"/>
  <c r="J12" i="4"/>
  <c r="I11" i="4"/>
  <c r="H10" i="4"/>
  <c r="E78" i="3"/>
  <c r="G9" i="4" s="1"/>
  <c r="M7" i="4"/>
  <c r="Q8" i="4"/>
  <c r="M75" i="3"/>
  <c r="O75" i="3"/>
  <c r="P75" i="3" s="1"/>
  <c r="I84" i="3"/>
  <c r="M80" i="3"/>
  <c r="O73" i="3"/>
  <c r="P73" i="3" s="1"/>
  <c r="R2" i="4"/>
  <c r="T10" i="4"/>
  <c r="T9" i="4"/>
  <c r="J9" i="4"/>
  <c r="K6" i="4"/>
  <c r="H4" i="4"/>
  <c r="N11" i="4"/>
  <c r="N12" i="4"/>
  <c r="M2" i="4"/>
  <c r="H13" i="4"/>
  <c r="K13" i="4"/>
  <c r="K8" i="4"/>
  <c r="H5" i="4"/>
  <c r="E84" i="3"/>
  <c r="H3" i="4" s="1"/>
  <c r="T3" i="4"/>
  <c r="U5" i="4"/>
  <c r="O84" i="3"/>
  <c r="P84" i="3" s="1"/>
  <c r="U6" i="4"/>
  <c r="U4" i="4"/>
  <c r="U7" i="4"/>
  <c r="U9" i="4"/>
  <c r="U11" i="4"/>
  <c r="I79" i="3"/>
  <c r="P5" i="4"/>
  <c r="Q4" i="4"/>
  <c r="U8" i="4"/>
  <c r="U3" i="4"/>
  <c r="U12" i="4"/>
  <c r="U15" i="4"/>
  <c r="T15" i="4"/>
  <c r="V3" i="4"/>
  <c r="D77" i="3"/>
  <c r="F77" i="3" s="1"/>
  <c r="K10" i="4"/>
  <c r="P10" i="4"/>
  <c r="S11" i="4"/>
  <c r="V6" i="4"/>
  <c r="U13" i="4"/>
  <c r="V2" i="4"/>
  <c r="P8" i="4"/>
  <c r="R12" i="4"/>
  <c r="I4" i="4"/>
  <c r="V10" i="4"/>
  <c r="V11" i="4"/>
  <c r="W5" i="4"/>
  <c r="W6" i="4"/>
  <c r="X5" i="4"/>
  <c r="I72" i="3"/>
  <c r="H72" i="3"/>
  <c r="L3" i="4"/>
  <c r="P3" i="4"/>
  <c r="Q3" i="4"/>
  <c r="M73" i="3"/>
  <c r="I8" i="4"/>
  <c r="L4" i="4"/>
  <c r="Q11" i="4"/>
  <c r="V5" i="4"/>
  <c r="W4" i="4"/>
  <c r="S9" i="4"/>
  <c r="W3" i="4"/>
  <c r="V15" i="4"/>
  <c r="V13" i="4"/>
  <c r="V12" i="4"/>
  <c r="W8" i="4"/>
  <c r="X4" i="4"/>
  <c r="X6" i="4"/>
  <c r="W15" i="4"/>
  <c r="X8" i="4"/>
  <c r="X9" i="4"/>
  <c r="X10" i="4"/>
  <c r="X12" i="4"/>
  <c r="X11" i="4"/>
  <c r="X13" i="4"/>
  <c r="H75" i="3"/>
  <c r="H7" i="4"/>
  <c r="Y2" i="4"/>
  <c r="Y3" i="4"/>
  <c r="Y4" i="4"/>
  <c r="Y5" i="4"/>
  <c r="Y6" i="4"/>
  <c r="Y7" i="4"/>
  <c r="Y8" i="4"/>
  <c r="Y9" i="4"/>
  <c r="Y10" i="4"/>
  <c r="Y11" i="4"/>
  <c r="Y12" i="4"/>
  <c r="Y13" i="4"/>
  <c r="H74" i="3"/>
  <c r="I74" i="3"/>
  <c r="G2" i="4"/>
  <c r="G3" i="4"/>
  <c r="Y15" i="4"/>
  <c r="L7" i="4"/>
  <c r="K5" i="4"/>
  <c r="I12" i="4"/>
  <c r="E79" i="3"/>
  <c r="G10" i="4" s="1"/>
  <c r="J7" i="4"/>
  <c r="O13" i="4"/>
  <c r="Q2" i="4"/>
  <c r="Q5" i="4"/>
  <c r="C15" i="4"/>
  <c r="J4" i="4"/>
  <c r="X3" i="4"/>
  <c r="E81" i="3" l="1"/>
  <c r="G12" i="4" s="1"/>
  <c r="E80" i="3"/>
  <c r="G11" i="4" s="1"/>
  <c r="M82" i="3"/>
  <c r="D81" i="3"/>
  <c r="F81" i="3" s="1"/>
  <c r="F30" i="4"/>
  <c r="D84" i="3"/>
  <c r="F84" i="3" s="1"/>
  <c r="L6" i="4"/>
  <c r="P2" i="4"/>
  <c r="W9" i="4"/>
  <c r="X2" i="4"/>
  <c r="G81" i="3"/>
  <c r="E82" i="3"/>
  <c r="G13" i="4" s="1"/>
  <c r="D82" i="3"/>
  <c r="F82" i="3" s="1"/>
  <c r="I5" i="4"/>
  <c r="O12" i="4"/>
  <c r="O3" i="4"/>
  <c r="P9" i="4"/>
  <c r="Q9" i="4"/>
  <c r="G80" i="3"/>
  <c r="I80" i="3" s="1"/>
  <c r="D78" i="3"/>
  <c r="F78" i="3" s="1"/>
  <c r="G78" i="3"/>
  <c r="I78" i="3" s="1"/>
  <c r="G77" i="3"/>
  <c r="I77" i="3" s="1"/>
  <c r="G76" i="3"/>
  <c r="I76" i="3" s="1"/>
  <c r="E73" i="3"/>
  <c r="G4" i="4" s="1"/>
  <c r="I75" i="1"/>
  <c r="L75" i="1" s="1"/>
  <c r="I10" i="1"/>
  <c r="L10" i="1" s="1"/>
  <c r="I3" i="1"/>
  <c r="I9" i="1"/>
  <c r="L9" i="1" s="1"/>
  <c r="I62" i="1"/>
  <c r="L62" i="1" s="1"/>
  <c r="I48" i="1"/>
  <c r="L48" i="1" s="1"/>
  <c r="I46" i="1"/>
  <c r="L46" i="1" s="1"/>
  <c r="I44" i="1"/>
  <c r="L44" i="1" s="1"/>
  <c r="I26" i="1"/>
  <c r="L26" i="1" s="1"/>
  <c r="I17" i="1"/>
  <c r="L17" i="1" s="1"/>
  <c r="I20" i="1"/>
  <c r="L20" i="1" s="1"/>
  <c r="I23" i="1"/>
  <c r="L23" i="1" s="1"/>
  <c r="I18" i="1"/>
  <c r="L18" i="1" s="1"/>
  <c r="I16" i="1"/>
  <c r="L16" i="1" s="1"/>
  <c r="I55" i="1"/>
  <c r="L55" i="1" s="1"/>
  <c r="I57" i="1"/>
  <c r="L57" i="1" s="1"/>
  <c r="I43" i="1"/>
  <c r="L43" i="1" s="1"/>
  <c r="I40" i="1"/>
  <c r="L40" i="1" s="1"/>
  <c r="I41" i="1"/>
  <c r="L41" i="1" s="1"/>
  <c r="I19" i="1"/>
  <c r="L19" i="1" s="1"/>
  <c r="O81" i="3"/>
  <c r="P81" i="3" s="1"/>
  <c r="M81" i="3"/>
  <c r="M74" i="3"/>
  <c r="O74" i="3"/>
  <c r="P74" i="3" s="1"/>
  <c r="Q12" i="4"/>
  <c r="S78" i="3"/>
  <c r="O83" i="3"/>
  <c r="P83" i="3" s="1"/>
  <c r="H9" i="4"/>
  <c r="N6" i="4"/>
  <c r="N13" i="4"/>
  <c r="M76" i="3"/>
  <c r="M77" i="3"/>
  <c r="P12" i="4"/>
  <c r="R11" i="4"/>
  <c r="I13" i="4"/>
  <c r="M5" i="4"/>
  <c r="O9" i="4"/>
  <c r="V9" i="4"/>
  <c r="L3" i="1"/>
  <c r="V4" i="4"/>
  <c r="V14" i="4" s="1"/>
  <c r="X15" i="4"/>
  <c r="X16" i="4" s="1"/>
  <c r="U10" i="4"/>
  <c r="E77" i="3"/>
  <c r="G8" i="4" s="1"/>
  <c r="O2" i="4"/>
  <c r="F22" i="4"/>
  <c r="K7" i="4"/>
  <c r="O5" i="4"/>
  <c r="K3" i="4"/>
  <c r="F24" i="4"/>
  <c r="H11" i="4"/>
  <c r="W10" i="4"/>
  <c r="M11" i="4"/>
  <c r="F19" i="4"/>
  <c r="F26" i="4"/>
  <c r="I6" i="4"/>
  <c r="Q6" i="4"/>
  <c r="S6" i="4"/>
  <c r="W7" i="4"/>
  <c r="L9" i="4"/>
  <c r="N8" i="4"/>
  <c r="U16" i="4"/>
  <c r="V16" i="4"/>
  <c r="Y16" i="4"/>
  <c r="T16" i="4"/>
  <c r="S16" i="4"/>
  <c r="W16" i="4"/>
  <c r="U14" i="4"/>
  <c r="C8" i="4"/>
  <c r="D8" i="4" s="1"/>
  <c r="Y14" i="4"/>
  <c r="E21" i="4"/>
  <c r="E31" i="4" s="1"/>
  <c r="D31" i="4"/>
  <c r="Q7" i="4"/>
  <c r="T14" i="4"/>
  <c r="L11" i="4"/>
  <c r="L12" i="4"/>
  <c r="S12" i="4"/>
  <c r="S13" i="4"/>
  <c r="W11" i="4"/>
  <c r="K12" i="4"/>
  <c r="L14" i="4"/>
  <c r="L13" i="4"/>
  <c r="M14" i="4"/>
  <c r="M6" i="4"/>
  <c r="S2" i="4"/>
  <c r="S3" i="4"/>
  <c r="S4" i="4"/>
  <c r="L2" i="4"/>
  <c r="K14" i="4"/>
  <c r="R5" i="4"/>
  <c r="R6" i="4"/>
  <c r="N5" i="4"/>
  <c r="W2" i="4"/>
  <c r="M4" i="4"/>
  <c r="C4" i="4" s="1"/>
  <c r="D4" i="4" s="1"/>
  <c r="X7" i="4"/>
  <c r="X14" i="4" s="1"/>
  <c r="J5" i="4"/>
  <c r="O11" i="4"/>
  <c r="R13" i="4"/>
  <c r="M12" i="4"/>
  <c r="M13" i="4"/>
  <c r="P13" i="4"/>
  <c r="N9" i="4"/>
  <c r="W13" i="4"/>
  <c r="W12" i="4"/>
  <c r="F15" i="4"/>
  <c r="E15" i="4" s="1"/>
  <c r="Z10" i="4" s="1"/>
  <c r="P14" i="4" l="1"/>
  <c r="H80" i="3"/>
  <c r="H78" i="3"/>
  <c r="C9" i="4"/>
  <c r="D9" i="4" s="1"/>
  <c r="E9" i="4" s="1"/>
  <c r="O14" i="4"/>
  <c r="H81" i="3"/>
  <c r="I81" i="3"/>
  <c r="C10" i="4"/>
  <c r="D10" i="4" s="1"/>
  <c r="E10" i="4" s="1"/>
  <c r="H77" i="3"/>
  <c r="H76" i="3"/>
  <c r="C6" i="4"/>
  <c r="D6" i="4" s="1"/>
  <c r="E6" i="4" s="1"/>
  <c r="C3" i="4"/>
  <c r="D3" i="4" s="1"/>
  <c r="E3" i="4" s="1"/>
  <c r="C13" i="4"/>
  <c r="D13" i="4" s="1"/>
  <c r="E13" i="4" s="1"/>
  <c r="F31" i="4"/>
  <c r="AB15" i="4"/>
  <c r="C7" i="4"/>
  <c r="D7" i="4" s="1"/>
  <c r="E7" i="4" s="1"/>
  <c r="C5" i="4"/>
  <c r="D5" i="4" s="1"/>
  <c r="I22" i="4" s="1"/>
  <c r="C2" i="4"/>
  <c r="D2" i="4" s="1"/>
  <c r="C12" i="4"/>
  <c r="D12" i="4" s="1"/>
  <c r="E12" i="4" s="1"/>
  <c r="C11" i="4"/>
  <c r="D11" i="4" s="1"/>
  <c r="E11" i="4" s="1"/>
  <c r="E4" i="4"/>
  <c r="E8" i="4"/>
  <c r="W14" i="4"/>
  <c r="S14" i="4"/>
  <c r="R14" i="4"/>
  <c r="Q14" i="4"/>
  <c r="Z2" i="4"/>
  <c r="Z3" i="4"/>
  <c r="Z11" i="4"/>
  <c r="Z4" i="4"/>
  <c r="Z8" i="4"/>
  <c r="D15" i="4"/>
  <c r="Z7" i="4"/>
  <c r="Z12" i="4"/>
  <c r="Z9" i="4"/>
  <c r="Z5" i="4"/>
  <c r="Z6" i="4"/>
  <c r="Z13" i="4"/>
  <c r="I21" i="4" l="1"/>
  <c r="AB23" i="4"/>
  <c r="AB26" i="4"/>
  <c r="E5" i="4"/>
  <c r="AB24" i="4"/>
  <c r="I23" i="4"/>
  <c r="C14" i="4"/>
  <c r="E2" i="4"/>
  <c r="E14" i="4" s="1"/>
  <c r="I24" i="4"/>
  <c r="D14" i="4"/>
  <c r="AB25" i="4"/>
  <c r="I25" i="4" l="1"/>
  <c r="H25" i="4" s="1"/>
  <c r="F10" i="4"/>
  <c r="F13" i="4"/>
  <c r="F8" i="4"/>
  <c r="F4" i="4"/>
  <c r="F3" i="4"/>
  <c r="F9" i="4"/>
  <c r="F12" i="4"/>
  <c r="F5" i="4"/>
  <c r="F11" i="4"/>
  <c r="F7" i="4"/>
  <c r="F6" i="4"/>
  <c r="F2" i="4"/>
  <c r="AB27" i="4"/>
  <c r="J21" i="4"/>
  <c r="J23" i="4" l="1"/>
  <c r="J24" i="4"/>
  <c r="J22" i="4"/>
  <c r="AA27" i="4"/>
  <c r="AC23" i="4"/>
  <c r="AC26" i="4"/>
  <c r="AC24" i="4"/>
  <c r="AC25" i="4"/>
  <c r="F76" i="1"/>
  <c r="F123" i="1" l="1"/>
  <c r="F122" i="1"/>
  <c r="B70" i="3"/>
  <c r="I115" i="1"/>
  <c r="L115" i="1" s="1"/>
  <c r="I113" i="1"/>
  <c r="L113" i="1" s="1"/>
  <c r="I114" i="1"/>
  <c r="L114" i="1" s="1"/>
  <c r="I112" i="1"/>
  <c r="L112" i="1" s="1"/>
  <c r="I116" i="1"/>
  <c r="L116" i="1" s="1"/>
  <c r="I111" i="1"/>
  <c r="L111" i="1" s="1"/>
  <c r="I109" i="1"/>
  <c r="L109" i="1" s="1"/>
  <c r="I110" i="1"/>
  <c r="L110" i="1" s="1"/>
  <c r="I107" i="1"/>
  <c r="L107" i="1" s="1"/>
  <c r="I106" i="1"/>
  <c r="L106" i="1" s="1"/>
  <c r="I101" i="1"/>
  <c r="L101" i="1" s="1"/>
  <c r="I104" i="1"/>
  <c r="L104" i="1" s="1"/>
  <c r="I76" i="1"/>
  <c r="L76" i="1" s="1"/>
  <c r="I69" i="1"/>
  <c r="L69" i="1" s="1"/>
  <c r="I100" i="1"/>
  <c r="L100" i="1" s="1"/>
  <c r="I71" i="1"/>
  <c r="L71" i="1" s="1"/>
  <c r="I102" i="1"/>
  <c r="L102" i="1" s="1"/>
  <c r="I65" i="1"/>
  <c r="L65" i="1" s="1"/>
  <c r="I70" i="1"/>
  <c r="L70" i="1" s="1"/>
  <c r="I64" i="1"/>
  <c r="L64" i="1" s="1"/>
  <c r="I14" i="1"/>
  <c r="L14" i="1" s="1"/>
  <c r="I6" i="1"/>
  <c r="L6" i="1" s="1"/>
  <c r="I13" i="1"/>
  <c r="L13" i="1" s="1"/>
  <c r="I4" i="1"/>
  <c r="L4" i="1" s="1"/>
  <c r="I61" i="1"/>
  <c r="L61" i="1" s="1"/>
  <c r="I53" i="1"/>
  <c r="L53" i="1" s="1"/>
  <c r="I54" i="1"/>
  <c r="L54" i="1" s="1"/>
  <c r="I39" i="1"/>
  <c r="L39" i="1" s="1"/>
  <c r="I36" i="1"/>
  <c r="L36" i="1" s="1"/>
  <c r="I32" i="1"/>
  <c r="L32" i="1" s="1"/>
  <c r="I29" i="1"/>
  <c r="L29" i="1" s="1"/>
  <c r="I21" i="1"/>
  <c r="L21" i="1" s="1"/>
  <c r="I22" i="1"/>
  <c r="L22" i="1" s="1"/>
  <c r="I8" i="1"/>
  <c r="L8" i="1" s="1"/>
  <c r="I11" i="1"/>
  <c r="L11" i="1" s="1"/>
  <c r="I60" i="1"/>
  <c r="L60" i="1" s="1"/>
  <c r="I52" i="1"/>
  <c r="L52" i="1" s="1"/>
  <c r="I47" i="1"/>
  <c r="L47" i="1" s="1"/>
  <c r="I37" i="1"/>
  <c r="L37" i="1" s="1"/>
  <c r="I34" i="1"/>
  <c r="L34" i="1" s="1"/>
  <c r="I35" i="1"/>
  <c r="L35" i="1" s="1"/>
  <c r="I49" i="1"/>
  <c r="L49" i="1" s="1"/>
  <c r="I30" i="1"/>
  <c r="L30" i="1" s="1"/>
  <c r="I24" i="1"/>
  <c r="L24" i="1" s="1"/>
  <c r="I103" i="1"/>
  <c r="L103" i="1" s="1"/>
  <c r="I108" i="1"/>
  <c r="L108" i="1" s="1"/>
  <c r="I66" i="1"/>
  <c r="L66" i="1" s="1"/>
  <c r="I105" i="1"/>
  <c r="L105" i="1" s="1"/>
  <c r="I68" i="1"/>
  <c r="L68" i="1" s="1"/>
  <c r="I73" i="1"/>
  <c r="L73" i="1" s="1"/>
  <c r="I74" i="1"/>
  <c r="L74" i="1" s="1"/>
  <c r="I63" i="1"/>
  <c r="L63" i="1" s="1"/>
  <c r="I72" i="1"/>
  <c r="L72" i="1" s="1"/>
  <c r="I67" i="1"/>
  <c r="L67" i="1" s="1"/>
  <c r="I58" i="1"/>
  <c r="L58" i="1" s="1"/>
  <c r="I50" i="1"/>
  <c r="L50" i="1" s="1"/>
  <c r="I59" i="1"/>
  <c r="L59" i="1" s="1"/>
  <c r="I42" i="1"/>
  <c r="L42" i="1" s="1"/>
  <c r="I38" i="1"/>
  <c r="L38" i="1" s="1"/>
  <c r="I28" i="1"/>
  <c r="L28" i="1" s="1"/>
  <c r="I31" i="1"/>
  <c r="L31" i="1" s="1"/>
  <c r="I25" i="1"/>
  <c r="L25" i="1" s="1"/>
  <c r="I12" i="1"/>
  <c r="L12" i="1" s="1"/>
  <c r="I5" i="1"/>
  <c r="L5" i="1" s="1"/>
  <c r="I15" i="1"/>
  <c r="L15" i="1" s="1"/>
  <c r="I7" i="1"/>
  <c r="L7" i="1" s="1"/>
  <c r="I56" i="1"/>
  <c r="L56" i="1" s="1"/>
  <c r="I51" i="1"/>
  <c r="L51" i="1" s="1"/>
  <c r="I45" i="1"/>
  <c r="L45" i="1" s="1"/>
  <c r="I33" i="1"/>
  <c r="L33" i="1" s="1"/>
  <c r="I27" i="1"/>
  <c r="L27" i="1" s="1"/>
  <c r="I93" i="1"/>
  <c r="L93" i="1" s="1"/>
  <c r="I96" i="1"/>
  <c r="L96" i="1" s="1"/>
  <c r="I90" i="1"/>
  <c r="L90" i="1" s="1"/>
  <c r="I86" i="1"/>
  <c r="L86" i="1" s="1"/>
  <c r="I82" i="1"/>
  <c r="L82" i="1" s="1"/>
  <c r="I78" i="1"/>
  <c r="L78" i="1" s="1"/>
  <c r="I99" i="1"/>
  <c r="L99" i="1" s="1"/>
  <c r="I95" i="1"/>
  <c r="L95" i="1" s="1"/>
  <c r="I89" i="1"/>
  <c r="L89" i="1" s="1"/>
  <c r="I85" i="1"/>
  <c r="L85" i="1" s="1"/>
  <c r="I81" i="1"/>
  <c r="L81" i="1" s="1"/>
  <c r="I77" i="1"/>
  <c r="L77" i="1" s="1"/>
  <c r="I98" i="1"/>
  <c r="L98" i="1" s="1"/>
  <c r="H76" i="1"/>
  <c r="I91" i="1"/>
  <c r="L91" i="1" s="1"/>
  <c r="I92" i="1"/>
  <c r="L92" i="1" s="1"/>
  <c r="I88" i="1"/>
  <c r="L88" i="1" s="1"/>
  <c r="I84" i="1"/>
  <c r="L84" i="1" s="1"/>
  <c r="I80" i="1"/>
  <c r="L80" i="1" s="1"/>
  <c r="I97" i="1"/>
  <c r="L97" i="1" s="1"/>
  <c r="I94" i="1"/>
  <c r="L94" i="1" s="1"/>
  <c r="I87" i="1"/>
  <c r="L87" i="1" s="1"/>
  <c r="I83" i="1"/>
  <c r="L83" i="1" s="1"/>
  <c r="I79" i="1"/>
  <c r="L79" i="1" s="1"/>
  <c r="D70" i="3"/>
  <c r="H122" i="1" l="1"/>
  <c r="H123" i="1"/>
  <c r="F70" i="3"/>
</calcChain>
</file>

<file path=xl/comments1.xml><?xml version="1.0" encoding="utf-8"?>
<comments xmlns="http://schemas.openxmlformats.org/spreadsheetml/2006/main">
  <authors>
    <author>Marcello Anglana</author>
  </authors>
  <commentList>
    <comment ref="AA14" authorId="0" shapeId="0">
      <text>
        <r>
          <rPr>
            <sz val="8"/>
            <color indexed="81"/>
            <rFont val="Tahoma"/>
            <family val="2"/>
          </rPr>
          <t>Proiezione annuale dall'1.1.2005</t>
        </r>
      </text>
    </comment>
    <comment ref="AB15" authorId="0" shapeId="0">
      <text>
        <r>
          <rPr>
            <b/>
            <sz val="8"/>
            <color indexed="81"/>
            <rFont val="Tahoma"/>
            <family val="2"/>
          </rPr>
          <t>Proiezione annuale dal 13.2.2005</t>
        </r>
      </text>
    </comment>
  </commentList>
</comments>
</file>

<file path=xl/sharedStrings.xml><?xml version="1.0" encoding="utf-8"?>
<sst xmlns="http://schemas.openxmlformats.org/spreadsheetml/2006/main" count="348" uniqueCount="210">
  <si>
    <t>Km al litro. La formula divide i km percorsi (colonna E) per il litri inseriti (colonna F). Ovviamente questa formula vale solo se si tratta di pieni. Se, per motivi di forza maggiore, non ho fatto il pieno, in quella casella la formula e appropriatamente modificata.</t>
  </si>
  <si>
    <t>Km/l totali. La formula calcola il consumo totale della moto, dal momento dell’acquisto (non è calcolato ovviamente il primo pieno, necessario per riempire il serbatoio il giorno dell’acquisto).</t>
  </si>
  <si>
    <t>Costo del pieno.</t>
  </si>
  <si>
    <t>Costo della benzina in occasione del pieno. Utile anche per trovare i distributori più economici, se possibile.</t>
  </si>
  <si>
    <t>Costo della moto (come carburante) al km. L’importo è espresso in centesimi di euro, anche se nella colonna è indicato €/km (per motivi di spazio): la formula divide il costo della benzina per i km/l totali. E’ quindi molto influenzata dalle variazioni del costo della benzina, mentre i consumi della moto si sono ormai stabilizzati a poco più di 14 km/l.</t>
  </si>
  <si>
    <t>Distributore presso il quale ho fatto benzina. E’ indicata la compagnia (normalmente Esso, di cui faccia la raccolta punti) e la località, abbreviata.</t>
  </si>
  <si>
    <t>Pressione della gomme, normalmente a 2,3 ant. e 2,7 post.. Il dato è inserito in occasione di ogni controllo, che effettuo personalmente sempre con i soliti due manometri/compressore.</t>
  </si>
  <si>
    <t>Note. P.e. se ero in riserva, e da quanto (noterai che spesso faccia benzina in riserva, anche con pochi decilitri di benzina nel serbatoio ,che è di 23,8 litri; preferisco fermarmi al distributore il meno possibile, e poi ormai la mia moto la conosco); data di effettuazione dei tagliandi; anomali riscontrato; millimetri del battistrada delle gomme, km segnati dal gps per raffronto col contakm; benzina pagata in valuta straniera; …</t>
  </si>
  <si>
    <t>km/l</t>
  </si>
  <si>
    <t>data</t>
  </si>
  <si>
    <t>km</t>
  </si>
  <si>
    <t>d km</t>
  </si>
  <si>
    <t>l</t>
  </si>
  <si>
    <t>km/l T</t>
  </si>
  <si>
    <t>staz.</t>
  </si>
  <si>
    <t>/</t>
  </si>
  <si>
    <t>km T</t>
  </si>
  <si>
    <t>g</t>
  </si>
  <si>
    <t>3a 7m 18g</t>
  </si>
  <si>
    <t>Totale</t>
  </si>
  <si>
    <t>fine</t>
  </si>
  <si>
    <t>m</t>
  </si>
  <si>
    <t>anno</t>
  </si>
  <si>
    <t>km eff.</t>
  </si>
  <si>
    <t xml:space="preserve">        </t>
  </si>
  <si>
    <t xml:space="preserve"> </t>
  </si>
  <si>
    <t>km/m</t>
  </si>
  <si>
    <t>km/a</t>
  </si>
  <si>
    <t>R 21</t>
  </si>
  <si>
    <t>T GW</t>
  </si>
  <si>
    <t>febbraio</t>
  </si>
  <si>
    <t>marzo</t>
  </si>
  <si>
    <t>aprile</t>
  </si>
  <si>
    <t>maggio</t>
  </si>
  <si>
    <t>giugno</t>
  </si>
  <si>
    <t>luglio</t>
  </si>
  <si>
    <t>agosto</t>
  </si>
  <si>
    <t>settembre</t>
  </si>
  <si>
    <t>ottobre</t>
  </si>
  <si>
    <t>novembre</t>
  </si>
  <si>
    <t>dicembre</t>
  </si>
  <si>
    <t>anni</t>
  </si>
  <si>
    <t>mensile</t>
  </si>
  <si>
    <t>annuo</t>
  </si>
  <si>
    <t>estate</t>
  </si>
  <si>
    <t>autunno</t>
  </si>
  <si>
    <t>inverno</t>
  </si>
  <si>
    <t>primavera</t>
  </si>
  <si>
    <t>%</t>
  </si>
  <si>
    <t>-</t>
  </si>
  <si>
    <t>+</t>
  </si>
  <si>
    <t>€</t>
  </si>
  <si>
    <t>€/l</t>
  </si>
  <si>
    <t>media</t>
  </si>
  <si>
    <t>gennaio</t>
  </si>
  <si>
    <t>km/g</t>
  </si>
  <si>
    <t>gen/dic</t>
  </si>
  <si>
    <t>Cartella Consumi:</t>
  </si>
  <si>
    <t>Se sei sopravvissuto alla spiegazione della colonna D passa alla colonna E.</t>
  </si>
  <si>
    <t>Numero del pieno: ogni volta che faccio il pieno alla moto (e io quando faccio benzina, faccio sempre il pieno, a meno che non ci siano in zona distributori aperti e sia costretto a usare l’automatico di 10/20 euro) segno i consumi (mancano solo i circa 40 pieni del viaggio in Russia, a causa del furto degli appunti di viaggio); da quando ho comprato la moto (13.2.1998) ad oggi sono 1765 pieni per circa 424.000 km.</t>
  </si>
  <si>
    <t>Colonna A</t>
  </si>
  <si>
    <t>Colonna B</t>
  </si>
  <si>
    <t>Colonna C</t>
  </si>
  <si>
    <t>Colonna D</t>
  </si>
  <si>
    <t>Colonna E</t>
  </si>
  <si>
    <t>Colonna F</t>
  </si>
  <si>
    <t>Colonna G</t>
  </si>
  <si>
    <t>Colonna H</t>
  </si>
  <si>
    <t>Colonna I</t>
  </si>
  <si>
    <t>Colonna L</t>
  </si>
  <si>
    <t>Colonna M</t>
  </si>
  <si>
    <t>Colonna J</t>
  </si>
  <si>
    <t>Colonna K</t>
  </si>
  <si>
    <t>Colonna N</t>
  </si>
  <si>
    <t>Cartella Totale:</t>
  </si>
  <si>
    <t>Cartella Mesi:</t>
  </si>
  <si>
    <t>E' riportato il grafico dei consumi (in rosso per ogni pieno, in blu il consumo totale), il grafico delle percorrenze mensili, la tabella dei km percorsi mese per mese con le varie medie. Questi grafici prendono i dati dalle altre celle delle cartelle.</t>
  </si>
  <si>
    <t>E' riportato in altro modo la percorrenza mensile, con un grafico che raffornta le percorrenze negli stessi mesi degli anni e nei vari anni., più un grafico delle percorrenze annuali.</t>
  </si>
  <si>
    <t>E' una cartella tecnica di parcheggio dati per l’elaborazione.</t>
  </si>
  <si>
    <t>Cartella XXX:</t>
  </si>
  <si>
    <t>Data del pieno.</t>
  </si>
  <si>
    <t>Km del contakm della moto.</t>
  </si>
  <si>
    <t>Differenza di km tra il pieno della riga e il precedente.</t>
  </si>
  <si>
    <t>Litri inseriti nel serbatoio in occasione del pieno della riga.</t>
  </si>
  <si>
    <t>L’altro dato della formula della colonna D è il +0,07 (o, come è scritto in modo equivalente nella formula, *1,007); questa è la differenza (calcolata in oltre 400.000 km di moto) tra i km segnati dal contakm della moto e quelli reali. In pratica ho verificato che la mia moto segna lo 0,7% in meno della reale percorrenza, quindi per avere i km reali devo aggiungere lo 0,7%. Sono arrivato a questo risultato soprattutto confrontando i dati del contakm con quelli dei cartelli autostradali: classica è l’autostrada adriatica A14 che percorro spesso quasi completamente (da Bari a Bologna): sono circa 600 km, quindi un raffronto affidabile per il contakm. Questo dato è stato altresì confermato dal contemporaneo confronto col gps, che invece si è dimostrato di una precisione quasi assoluta, a parte qualche problema nelle partenze dopo essere stato spento per molto tempo, situazione in cui il sensore alla ruota non sempre riesce a stabilire una posizione affidabile.</t>
  </si>
  <si>
    <t>Km effettivi della moto. Questa cifra è il risultato di una formula (la vedi cliccando all’interno di ogni cella della colonna), che, partendo dai km segnati dal contakm, aggiunge i km percorsi col contakm rotto (rottura della cordina, del sensore alla ruota): da tenere presente, che la maggior parte di questi inconvenienti sono avvenuti in un anno in cui ho avuto molti problemi per montare il sensore alla ruota del mio gps Garmin 2650, che ha appunto un sensore che permette di calcolare la posizione anche quando manca il segnale dei satelliti. Il problema era che questo sensore è previsto per le moto moderne, con contakm elettronico, dove quindi arriva un impulso elettrico; invece il mio contakm è di tipo tradizionale, meccanico, che misura quindi i giri della ruota con una cordina che gira. Alla fine ho trovato un oggetto che trasforma il movimento della ruota in impulsi elettrici, interpretabili dal sensore gps. Per far questo però ho dovuto fare numerosi tentativi che hanno comportato anche la rottura della cordina contakm.</t>
  </si>
  <si>
    <t>Ovviamente questo scarto dello 0,7% dipende dalla pressione di gonfiaggio della ruota anteriore, che deve essere quella corretta (2,3); dipende anche in parte dalla velocità del veicolo (in caso di alte e prolungate velocità l’aria all’interno delle gomme – non uso l’azoto – si riscalda, dilatandosi, provocando quindi un aumento della circonferenza della gomma, come quando la stessa è gonfiata ad una pressione eccessiva); si dovrebbe quindi tenere conto anche di queste variabili, ma, dopo diverse rilevazioni, sono giunto alla conclusione che lo 0,7% è una media attendibile. E poi io “non sono pignolo”.
A partire dai 500.000, il fattore di correzione non è più lo 0,7 , ma l'1 %, poichè ho cambiato tipo di gomme, contakm e pressione di gonfiaggio (aumentata, davanti, da 2,3 a 2,5)</t>
  </si>
  <si>
    <t>1.1/31.12</t>
  </si>
  <si>
    <t>GN250 38.202 Tot.</t>
  </si>
  <si>
    <t>IP Lec.</t>
  </si>
  <si>
    <t>pieno</t>
  </si>
  <si>
    <t>gratis</t>
  </si>
  <si>
    <t>cent/km</t>
  </si>
  <si>
    <t>no R</t>
  </si>
  <si>
    <t>T.ERG TW</t>
  </si>
  <si>
    <t>strum.</t>
  </si>
  <si>
    <t>Q8 SS16</t>
  </si>
  <si>
    <t>ENI LE</t>
  </si>
  <si>
    <t>Q8 SA</t>
  </si>
  <si>
    <t>R 45, forse R 65</t>
  </si>
  <si>
    <t>T 1.300</t>
  </si>
  <si>
    <t>E S.Ma</t>
  </si>
  <si>
    <t>R c.20</t>
  </si>
  <si>
    <t>km+1%</t>
  </si>
  <si>
    <t>note (dal 24.3.2018 ore 13)</t>
  </si>
  <si>
    <t>IP SA</t>
  </si>
  <si>
    <t>Enercop s.Ma.</t>
  </si>
  <si>
    <t>R 23</t>
  </si>
  <si>
    <t>Q8 BN</t>
  </si>
  <si>
    <t>IP RM</t>
  </si>
  <si>
    <t>TE GR</t>
  </si>
  <si>
    <t>ECON GR</t>
  </si>
  <si>
    <t>R 9</t>
  </si>
  <si>
    <t>AG AV</t>
  </si>
  <si>
    <t>2 tacche</t>
  </si>
  <si>
    <t>?</t>
  </si>
  <si>
    <t>R 4</t>
  </si>
  <si>
    <t>OIL FG</t>
  </si>
  <si>
    <t>Q8 AN</t>
  </si>
  <si>
    <t>TE RA</t>
  </si>
  <si>
    <t>? UD</t>
  </si>
  <si>
    <t>E BO</t>
  </si>
  <si>
    <t>1 tacca quasi</t>
  </si>
  <si>
    <t>OIL PU</t>
  </si>
  <si>
    <t>2 tacche -</t>
  </si>
  <si>
    <t>AG TE</t>
  </si>
  <si>
    <t>OIL BA</t>
  </si>
  <si>
    <t>TE SA</t>
  </si>
  <si>
    <t>R 7</t>
  </si>
  <si>
    <t>R 13</t>
  </si>
  <si>
    <t>24.5 9.350-9.444</t>
  </si>
  <si>
    <t>R 22</t>
  </si>
  <si>
    <t>R 10</t>
  </si>
  <si>
    <t>24.4 3.045-3.075</t>
  </si>
  <si>
    <t>30.4 4.012-4.052</t>
  </si>
  <si>
    <t>31.3 km 748-755</t>
  </si>
  <si>
    <t>31.5 9.906-10.005</t>
  </si>
  <si>
    <t>IP FR</t>
  </si>
  <si>
    <t>Q8 FR</t>
  </si>
  <si>
    <t>R 0</t>
  </si>
  <si>
    <t>R 34</t>
  </si>
  <si>
    <t>R 29</t>
  </si>
  <si>
    <t>Oil FG</t>
  </si>
  <si>
    <t>Oil PE</t>
  </si>
  <si>
    <t>Q8 RN</t>
  </si>
  <si>
    <t>Q8 PD</t>
  </si>
  <si>
    <t>Austria</t>
  </si>
  <si>
    <t>Oil BL</t>
  </si>
  <si>
    <t>? BL</t>
  </si>
  <si>
    <t>Q8 RO</t>
  </si>
  <si>
    <t>Q8 FC</t>
  </si>
  <si>
    <t>Q8 PU</t>
  </si>
  <si>
    <t>ENI PE</t>
  </si>
  <si>
    <t>T 12.6 14.311-14.454</t>
  </si>
  <si>
    <t>Enerc.s.Ma.</t>
  </si>
  <si>
    <t>30.6 22.626-22.852</t>
  </si>
  <si>
    <t>EK39494</t>
  </si>
  <si>
    <t>IP casa</t>
  </si>
  <si>
    <t>Q8 MC</t>
  </si>
  <si>
    <t>E FC</t>
  </si>
  <si>
    <t>E VR</t>
  </si>
  <si>
    <t>Germania</t>
  </si>
  <si>
    <t>Lussemburgo</t>
  </si>
  <si>
    <t>Belgio</t>
  </si>
  <si>
    <t>Regno Unito</t>
  </si>
  <si>
    <t>1,14*1,289*18,39</t>
  </si>
  <si>
    <t>1,14*1,459*24,91</t>
  </si>
  <si>
    <t>1,14*1,459*22,25</t>
  </si>
  <si>
    <t>1,14*1,419*17,89</t>
  </si>
  <si>
    <t>1,14*1,299*15,37</t>
  </si>
  <si>
    <t>1,14*1,289*18,65</t>
  </si>
  <si>
    <t>1,14*1,339*12,52</t>
  </si>
  <si>
    <t>1,14*1,339*14,78</t>
  </si>
  <si>
    <t>1,14*(1,329+1,319)*(18,01+10)</t>
  </si>
  <si>
    <t>1,14*1,309*22</t>
  </si>
  <si>
    <t>1,14*1,349*17,50</t>
  </si>
  <si>
    <t>1,14*1,349*18</t>
  </si>
  <si>
    <t>1,14*1,339*21,10</t>
  </si>
  <si>
    <t>1,14*1,239*18,89</t>
  </si>
  <si>
    <t>1,14*1,299*17,25</t>
  </si>
  <si>
    <t>1,14*1,289*26,67  R 45</t>
  </si>
  <si>
    <t>1,14*1,309*14,20</t>
  </si>
  <si>
    <t>1,14*1,329*17,73</t>
  </si>
  <si>
    <t>1,14*1,419*10,12</t>
  </si>
  <si>
    <t>R 25</t>
  </si>
  <si>
    <t>E Bari</t>
  </si>
  <si>
    <t>24.6 19.600-19.796 c.</t>
  </si>
  <si>
    <t>24.7 24.553-24.799</t>
  </si>
  <si>
    <t>31.7-24.8-31.8-"</t>
  </si>
  <si>
    <t>T 22.9 24.610-24.856</t>
  </si>
  <si>
    <t>Q8 FG</t>
  </si>
  <si>
    <t>R 19</t>
  </si>
  <si>
    <t>R 18</t>
  </si>
  <si>
    <t>Q8 BA</t>
  </si>
  <si>
    <t>Lecce-S.Severo(FG)-laghi-Lecce:</t>
  </si>
  <si>
    <t>24.9 25.466-25.721</t>
  </si>
  <si>
    <t>30.9 26.492-26.757</t>
  </si>
  <si>
    <t>Enerc. s.Ma.</t>
  </si>
  <si>
    <t>Q8 Altamura</t>
  </si>
  <si>
    <t>E PZ</t>
  </si>
  <si>
    <t>Lecce-Pollino-Lecce:</t>
  </si>
  <si>
    <t>km 719 - l 34,72 - km/l 20,71</t>
  </si>
  <si>
    <t>km 809 - l 45,499 - km/l 17,78</t>
  </si>
  <si>
    <t>R 36 (corso Bari-Ruffano)</t>
  </si>
  <si>
    <t>h 13.00</t>
  </si>
  <si>
    <t>---</t>
  </si>
  <si>
    <t>24.3/24.3</t>
  </si>
  <si>
    <t>GW1500</t>
  </si>
  <si>
    <t>20a 1m 11g</t>
  </si>
  <si>
    <t>tot.</t>
  </si>
</sst>
</file>

<file path=xl/styles.xml><?xml version="1.0" encoding="utf-8"?>
<styleSheet xmlns="http://schemas.openxmlformats.org/spreadsheetml/2006/main" xmlns:mc="http://schemas.openxmlformats.org/markup-compatibility/2006" xmlns:x14ac="http://schemas.microsoft.com/office/spreadsheetml/2009/9/ac" mc:Ignorable="x14ac">
  <numFmts count="26">
    <numFmt numFmtId="41" formatCode="_-* #,##0_-;\-* #,##0_-;_-* &quot;-&quot;_-;_-@_-"/>
    <numFmt numFmtId="43" formatCode="_-* #,##0.00_-;\-* #,##0.00_-;_-* &quot;-&quot;??_-;_-@_-"/>
    <numFmt numFmtId="164" formatCode="d\ mm\ yy"/>
    <numFmt numFmtId="165" formatCode="#,##0.0"/>
    <numFmt numFmtId="166" formatCode="0.0"/>
    <numFmt numFmtId="167" formatCode="d\-mm"/>
    <numFmt numFmtId="168" formatCode="_-* #,##0.0_-;\-* #,##0.0_-;_-* &quot;-&quot;_-;_-@_-"/>
    <numFmt numFmtId="169" formatCode="_-\£\ #,##0_-;\-&quot;L.&quot;\ * #,##0_-;_-&quot;L.&quot;\ * &quot;-&quot;_-;_-@_-"/>
    <numFmt numFmtId="170" formatCode="m:yy"/>
    <numFmt numFmtId="171" formatCode="0_ ;\-0\ "/>
    <numFmt numFmtId="172" formatCode="#,##0_ ;\-#,##0\ "/>
    <numFmt numFmtId="173" formatCode="#,##0.00_ ;\-#,##0.00\ "/>
    <numFmt numFmtId="174" formatCode="#,##0.000_ ;\-#,##0.000\ "/>
    <numFmt numFmtId="175" formatCode="_-* #,##0.00_-;\-* #,##0.00_-;_-* &quot;-&quot;_-;_-@_-"/>
    <numFmt numFmtId="176" formatCode="[$€-2]\ #,##0;\-[$€-2]\ #,##0"/>
    <numFmt numFmtId="177" formatCode="[$€-2]\ #,##0.000"/>
    <numFmt numFmtId="178" formatCode="_-[$€-2]\ * #,##0.00_-;\-[$€-2]\ * #,##0.00_-;_-[$€-2]\ * &quot;-&quot;??_-"/>
    <numFmt numFmtId="179" formatCode="\l\ \ 0,000.00"/>
    <numFmt numFmtId="180" formatCode="_-* #,##0_-;\-* #,##0_-;_-* &quot;-&quot;??_-;_-@_-"/>
    <numFmt numFmtId="181" formatCode="dd/mm/yy;@"/>
    <numFmt numFmtId="182" formatCode="m\.yy"/>
    <numFmt numFmtId="183" formatCode="dd\.mm\.yy"/>
    <numFmt numFmtId="184" formatCode="d\.m\.yy"/>
    <numFmt numFmtId="185" formatCode="dd\.m"/>
    <numFmt numFmtId="186" formatCode="#,##0.00000"/>
    <numFmt numFmtId="187" formatCode="#,##0.000"/>
  </numFmts>
  <fonts count="28" x14ac:knownFonts="1">
    <font>
      <sz val="10"/>
      <name val="Arial"/>
    </font>
    <font>
      <sz val="10"/>
      <name val="Arial"/>
      <family val="2"/>
    </font>
    <font>
      <sz val="8"/>
      <name val="Arial"/>
      <family val="2"/>
    </font>
    <font>
      <sz val="10"/>
      <name val="Arial"/>
      <family val="2"/>
    </font>
    <font>
      <sz val="6"/>
      <name val="Arial"/>
      <family val="2"/>
    </font>
    <font>
      <sz val="8"/>
      <name val="Arial"/>
      <family val="2"/>
    </font>
    <font>
      <sz val="9"/>
      <name val="Arial"/>
      <family val="2"/>
    </font>
    <font>
      <b/>
      <sz val="10"/>
      <name val="Arial"/>
      <family val="2"/>
    </font>
    <font>
      <sz val="10"/>
      <color indexed="9"/>
      <name val="Arial"/>
      <family val="2"/>
    </font>
    <font>
      <sz val="8"/>
      <color indexed="9"/>
      <name val="Arial"/>
      <family val="2"/>
    </font>
    <font>
      <b/>
      <i/>
      <sz val="10"/>
      <name val="Arial"/>
      <family val="2"/>
    </font>
    <font>
      <i/>
      <sz val="10"/>
      <name val="Arial"/>
      <family val="2"/>
    </font>
    <font>
      <sz val="10"/>
      <color indexed="10"/>
      <name val="Arial"/>
      <family val="2"/>
    </font>
    <font>
      <b/>
      <sz val="10"/>
      <color indexed="10"/>
      <name val="Arial"/>
      <family val="2"/>
    </font>
    <font>
      <sz val="10"/>
      <color indexed="12"/>
      <name val="Arial"/>
      <family val="2"/>
    </font>
    <font>
      <b/>
      <sz val="10"/>
      <color indexed="12"/>
      <name val="Arial"/>
      <family val="2"/>
    </font>
    <font>
      <sz val="8"/>
      <color indexed="81"/>
      <name val="Tahoma"/>
      <family val="2"/>
    </font>
    <font>
      <b/>
      <sz val="8"/>
      <color indexed="81"/>
      <name val="Tahoma"/>
      <family val="2"/>
    </font>
    <font>
      <b/>
      <sz val="9"/>
      <name val="Arial"/>
      <family val="2"/>
    </font>
    <font>
      <sz val="10"/>
      <name val="Arial"/>
      <family val="2"/>
    </font>
    <font>
      <b/>
      <sz val="10"/>
      <color indexed="30"/>
      <name val="Arial"/>
      <family val="2"/>
    </font>
    <font>
      <b/>
      <sz val="10"/>
      <color indexed="10"/>
      <name val="Arial"/>
      <family val="2"/>
    </font>
    <font>
      <sz val="10"/>
      <color indexed="10"/>
      <name val="Arial"/>
      <family val="2"/>
    </font>
    <font>
      <b/>
      <sz val="10"/>
      <color indexed="10"/>
      <name val="Arial"/>
      <family val="2"/>
    </font>
    <font>
      <i/>
      <sz val="10"/>
      <color indexed="12"/>
      <name val="Arial"/>
      <family val="2"/>
    </font>
    <font>
      <b/>
      <sz val="10"/>
      <color indexed="10"/>
      <name val="Arial"/>
      <family val="2"/>
    </font>
    <font>
      <sz val="10"/>
      <color indexed="10"/>
      <name val="Arial"/>
      <family val="2"/>
    </font>
    <font>
      <sz val="4"/>
      <name val="Arial"/>
      <family val="2"/>
    </font>
  </fonts>
  <fills count="4">
    <fill>
      <patternFill patternType="none"/>
    </fill>
    <fill>
      <patternFill patternType="gray125"/>
    </fill>
    <fill>
      <patternFill patternType="solid">
        <fgColor indexed="22"/>
        <bgColor indexed="64"/>
      </patternFill>
    </fill>
    <fill>
      <patternFill patternType="solid">
        <fgColor theme="0" tint="-0.14999847407452621"/>
        <bgColor indexed="64"/>
      </patternFill>
    </fill>
  </fills>
  <borders count="51">
    <border>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hair">
        <color indexed="64"/>
      </bottom>
      <diagonal/>
    </border>
    <border>
      <left/>
      <right/>
      <top/>
      <bottom style="hair">
        <color indexed="64"/>
      </bottom>
      <diagonal/>
    </border>
    <border>
      <left/>
      <right/>
      <top style="hair">
        <color indexed="64"/>
      </top>
      <bottom/>
      <diagonal/>
    </border>
    <border>
      <left style="hair">
        <color indexed="64"/>
      </left>
      <right/>
      <top/>
      <bottom/>
      <diagonal/>
    </border>
    <border>
      <left style="hair">
        <color indexed="64"/>
      </left>
      <right/>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thin">
        <color indexed="64"/>
      </left>
      <right style="hair">
        <color indexed="64"/>
      </right>
      <top/>
      <bottom/>
      <diagonal/>
    </border>
    <border>
      <left style="hair">
        <color indexed="64"/>
      </left>
      <right style="hair">
        <color indexed="64"/>
      </right>
      <top/>
      <bottom style="thin">
        <color indexed="64"/>
      </bottom>
      <diagonal/>
    </border>
    <border>
      <left/>
      <right style="hair">
        <color indexed="64"/>
      </right>
      <top/>
      <bottom/>
      <diagonal/>
    </border>
    <border>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top style="hair">
        <color indexed="64"/>
      </top>
      <bottom/>
      <diagonal/>
    </border>
    <border>
      <left style="thin">
        <color indexed="64"/>
      </left>
      <right style="thin">
        <color indexed="64"/>
      </right>
      <top/>
      <bottom/>
      <diagonal/>
    </border>
    <border>
      <left style="thin">
        <color indexed="64"/>
      </left>
      <right style="hair">
        <color indexed="64"/>
      </right>
      <top/>
      <bottom style="thin">
        <color indexed="64"/>
      </bottom>
      <diagonal/>
    </border>
    <border>
      <left style="thin">
        <color indexed="64"/>
      </left>
      <right/>
      <top/>
      <bottom style="dotted">
        <color indexed="64"/>
      </bottom>
      <diagonal/>
    </border>
    <border>
      <left style="hair">
        <color indexed="64"/>
      </left>
      <right style="hair">
        <color indexed="64"/>
      </right>
      <top/>
      <bottom style="dotted">
        <color indexed="64"/>
      </bottom>
      <diagonal/>
    </border>
    <border>
      <left/>
      <right style="thin">
        <color indexed="64"/>
      </right>
      <top/>
      <bottom style="dotted">
        <color indexed="64"/>
      </bottom>
      <diagonal/>
    </border>
    <border>
      <left style="thin">
        <color indexed="64"/>
      </left>
      <right/>
      <top/>
      <bottom style="hair">
        <color indexed="64"/>
      </bottom>
      <diagonal/>
    </border>
    <border>
      <left/>
      <right style="hair">
        <color indexed="64"/>
      </right>
      <top/>
      <bottom style="hair">
        <color indexed="64"/>
      </bottom>
      <diagonal/>
    </border>
    <border>
      <left style="thin">
        <color indexed="64"/>
      </left>
      <right style="hair">
        <color indexed="64"/>
      </right>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top style="dotted">
        <color indexed="64"/>
      </top>
      <bottom/>
      <diagonal/>
    </border>
    <border>
      <left style="hair">
        <color indexed="64"/>
      </left>
      <right style="hair">
        <color indexed="64"/>
      </right>
      <top style="dotted">
        <color indexed="64"/>
      </top>
      <bottom/>
      <diagonal/>
    </border>
    <border>
      <left style="hair">
        <color indexed="64"/>
      </left>
      <right style="thin">
        <color indexed="64"/>
      </right>
      <top style="dotted">
        <color indexed="64"/>
      </top>
      <bottom/>
      <diagonal/>
    </border>
    <border>
      <left/>
      <right style="hair">
        <color indexed="64"/>
      </right>
      <top/>
      <bottom style="dotted">
        <color indexed="64"/>
      </bottom>
      <diagonal/>
    </border>
    <border>
      <left/>
      <right/>
      <top/>
      <bottom style="dotted">
        <color indexed="64"/>
      </bottom>
      <diagonal/>
    </border>
    <border>
      <left style="thin">
        <color indexed="64"/>
      </left>
      <right style="thin">
        <color indexed="64"/>
      </right>
      <top/>
      <bottom style="dotted">
        <color indexed="64"/>
      </bottom>
      <diagonal/>
    </border>
  </borders>
  <cellStyleXfs count="4">
    <xf numFmtId="0" fontId="0" fillId="0" borderId="0"/>
    <xf numFmtId="178"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411">
    <xf numFmtId="0" fontId="0" fillId="0" borderId="0" xfId="0"/>
    <xf numFmtId="0" fontId="3" fillId="0" borderId="0" xfId="0" applyFont="1"/>
    <xf numFmtId="3" fontId="3" fillId="0" borderId="0" xfId="0" applyNumberFormat="1" applyFont="1"/>
    <xf numFmtId="41" fontId="3" fillId="0" borderId="0" xfId="3" applyFont="1"/>
    <xf numFmtId="1" fontId="3" fillId="0" borderId="0" xfId="0" applyNumberFormat="1" applyFont="1"/>
    <xf numFmtId="1" fontId="3" fillId="0" borderId="0" xfId="0" applyNumberFormat="1" applyFont="1" applyBorder="1"/>
    <xf numFmtId="0" fontId="3" fillId="0" borderId="0" xfId="0" applyFont="1" applyBorder="1"/>
    <xf numFmtId="3" fontId="3" fillId="0" borderId="1" xfId="0" applyNumberFormat="1" applyFont="1" applyBorder="1"/>
    <xf numFmtId="1" fontId="3" fillId="0" borderId="0" xfId="0" applyNumberFormat="1" applyFont="1" applyBorder="1" applyAlignment="1">
      <alignment horizontal="center"/>
    </xf>
    <xf numFmtId="0" fontId="3" fillId="0" borderId="0" xfId="0" applyNumberFormat="1" applyFont="1"/>
    <xf numFmtId="164" fontId="3" fillId="0" borderId="0" xfId="0" applyNumberFormat="1" applyFont="1"/>
    <xf numFmtId="164" fontId="3" fillId="0" borderId="0" xfId="0" applyNumberFormat="1" applyFont="1" applyBorder="1"/>
    <xf numFmtId="3" fontId="3" fillId="0" borderId="0" xfId="3" applyNumberFormat="1" applyFont="1"/>
    <xf numFmtId="3" fontId="0" fillId="0" borderId="0" xfId="0" applyNumberFormat="1"/>
    <xf numFmtId="3" fontId="3" fillId="0" borderId="1" xfId="3" applyNumberFormat="1" applyFont="1" applyBorder="1"/>
    <xf numFmtId="166" fontId="3" fillId="0" borderId="0" xfId="0" applyNumberFormat="1" applyFont="1"/>
    <xf numFmtId="3" fontId="3" fillId="0" borderId="2" xfId="0" applyNumberFormat="1" applyFont="1" applyBorder="1" applyAlignment="1">
      <alignment horizontal="center"/>
    </xf>
    <xf numFmtId="164" fontId="0" fillId="0" borderId="0" xfId="0" applyNumberFormat="1" applyAlignment="1">
      <alignment horizontal="centerContinuous"/>
    </xf>
    <xf numFmtId="0" fontId="0" fillId="0" borderId="0" xfId="0" applyAlignment="1">
      <alignment horizontal="centerContinuous"/>
    </xf>
    <xf numFmtId="0" fontId="0" fillId="0" borderId="0" xfId="0" applyAlignment="1"/>
    <xf numFmtId="170" fontId="3" fillId="0" borderId="0" xfId="0" applyNumberFormat="1" applyFont="1"/>
    <xf numFmtId="170" fontId="3" fillId="0" borderId="0" xfId="0" applyNumberFormat="1" applyFont="1" applyAlignment="1">
      <alignment horizontal="right"/>
    </xf>
    <xf numFmtId="170" fontId="5" fillId="0" borderId="0" xfId="0" applyNumberFormat="1" applyFont="1" applyAlignment="1">
      <alignment horizontal="left"/>
    </xf>
    <xf numFmtId="3" fontId="0" fillId="0" borderId="0" xfId="0" applyNumberFormat="1" applyAlignment="1"/>
    <xf numFmtId="41" fontId="3" fillId="0" borderId="3" xfId="3" applyFont="1" applyBorder="1" applyAlignment="1">
      <alignment horizontal="center"/>
    </xf>
    <xf numFmtId="3" fontId="3" fillId="0" borderId="5" xfId="0" applyNumberFormat="1" applyFont="1" applyBorder="1" applyAlignment="1">
      <alignment horizontal="center"/>
    </xf>
    <xf numFmtId="0" fontId="4" fillId="0" borderId="3" xfId="0" applyFont="1" applyBorder="1" applyAlignment="1">
      <alignment horizontal="center"/>
    </xf>
    <xf numFmtId="2" fontId="4" fillId="0" borderId="1" xfId="0" applyNumberFormat="1" applyFont="1" applyBorder="1" applyAlignment="1"/>
    <xf numFmtId="0" fontId="4" fillId="0" borderId="1" xfId="0" applyFont="1" applyBorder="1" applyAlignment="1"/>
    <xf numFmtId="172" fontId="3" fillId="0" borderId="0" xfId="3" applyNumberFormat="1" applyFont="1" applyBorder="1"/>
    <xf numFmtId="3" fontId="3" fillId="0" borderId="0" xfId="0" applyNumberFormat="1" applyFont="1" applyBorder="1"/>
    <xf numFmtId="3" fontId="1" fillId="0" borderId="0" xfId="0" applyNumberFormat="1" applyFont="1" applyBorder="1"/>
    <xf numFmtId="172" fontId="3" fillId="0" borderId="0" xfId="3" applyNumberFormat="1" applyFont="1"/>
    <xf numFmtId="172" fontId="0" fillId="0" borderId="0" xfId="3" applyNumberFormat="1" applyFont="1"/>
    <xf numFmtId="1" fontId="4" fillId="0" borderId="0" xfId="0" applyNumberFormat="1" applyFont="1" applyBorder="1" applyAlignment="1">
      <alignment horizontal="center"/>
    </xf>
    <xf numFmtId="172" fontId="7" fillId="0" borderId="0" xfId="3" applyNumberFormat="1" applyFont="1" applyBorder="1"/>
    <xf numFmtId="41" fontId="3" fillId="0" borderId="0" xfId="0" applyNumberFormat="1" applyFont="1"/>
    <xf numFmtId="172" fontId="3" fillId="0" borderId="0" xfId="0" applyNumberFormat="1" applyFont="1"/>
    <xf numFmtId="3" fontId="3" fillId="0" borderId="6" xfId="3" applyNumberFormat="1" applyFont="1" applyBorder="1"/>
    <xf numFmtId="3" fontId="3" fillId="0" borderId="6" xfId="0" applyNumberFormat="1" applyFont="1" applyBorder="1"/>
    <xf numFmtId="166" fontId="3" fillId="0" borderId="7" xfId="0" applyNumberFormat="1" applyFont="1" applyBorder="1"/>
    <xf numFmtId="3" fontId="3" fillId="0" borderId="7" xfId="3" applyNumberFormat="1" applyFont="1" applyBorder="1"/>
    <xf numFmtId="172" fontId="3" fillId="0" borderId="7" xfId="3" applyNumberFormat="1" applyFont="1" applyBorder="1"/>
    <xf numFmtId="3" fontId="3" fillId="0" borderId="7" xfId="0" applyNumberFormat="1" applyFont="1" applyBorder="1"/>
    <xf numFmtId="3" fontId="1" fillId="0" borderId="7" xfId="0" applyNumberFormat="1" applyFont="1" applyBorder="1"/>
    <xf numFmtId="172" fontId="3" fillId="0" borderId="8" xfId="3" applyNumberFormat="1" applyFont="1" applyBorder="1"/>
    <xf numFmtId="3" fontId="3" fillId="0" borderId="8" xfId="0" applyNumberFormat="1" applyFont="1" applyBorder="1"/>
    <xf numFmtId="170" fontId="8" fillId="0" borderId="0" xfId="0" applyNumberFormat="1" applyFont="1"/>
    <xf numFmtId="0" fontId="8" fillId="0" borderId="0" xfId="0" applyNumberFormat="1" applyFont="1"/>
    <xf numFmtId="0" fontId="8" fillId="0" borderId="0" xfId="0" applyFont="1"/>
    <xf numFmtId="3" fontId="8" fillId="0" borderId="0" xfId="0" applyNumberFormat="1" applyFont="1"/>
    <xf numFmtId="166" fontId="8" fillId="0" borderId="0" xfId="0" applyNumberFormat="1" applyFont="1"/>
    <xf numFmtId="41" fontId="8" fillId="0" borderId="0" xfId="3" applyFont="1"/>
    <xf numFmtId="170" fontId="8" fillId="0" borderId="0" xfId="0" applyNumberFormat="1" applyFont="1" applyBorder="1" applyAlignment="1">
      <alignment horizontal="right"/>
    </xf>
    <xf numFmtId="0" fontId="8" fillId="0" borderId="0" xfId="0" applyNumberFormat="1" applyFont="1" applyBorder="1" applyAlignment="1">
      <alignment horizontal="center"/>
    </xf>
    <xf numFmtId="166" fontId="8" fillId="0" borderId="0" xfId="0" applyNumberFormat="1" applyFont="1" applyBorder="1"/>
    <xf numFmtId="3" fontId="8" fillId="0" borderId="0" xfId="0" applyNumberFormat="1" applyFont="1" applyBorder="1" applyAlignment="1"/>
    <xf numFmtId="170" fontId="8" fillId="0" borderId="0" xfId="0" applyNumberFormat="1" applyFont="1" applyAlignment="1">
      <alignment horizontal="right"/>
    </xf>
    <xf numFmtId="0" fontId="8" fillId="0" borderId="0" xfId="0" applyNumberFormat="1" applyFont="1" applyBorder="1"/>
    <xf numFmtId="165" fontId="8" fillId="0" borderId="0" xfId="0" applyNumberFormat="1" applyFont="1" applyBorder="1" applyAlignment="1"/>
    <xf numFmtId="3" fontId="8" fillId="0" borderId="0" xfId="3" applyNumberFormat="1" applyFont="1" applyBorder="1" applyAlignment="1">
      <alignment horizontal="center"/>
    </xf>
    <xf numFmtId="3" fontId="8" fillId="0" borderId="0" xfId="0" applyNumberFormat="1" applyFont="1" applyBorder="1" applyAlignment="1">
      <alignment horizontal="center"/>
    </xf>
    <xf numFmtId="0" fontId="8" fillId="0" borderId="0" xfId="0" applyNumberFormat="1" applyFont="1" applyAlignment="1">
      <alignment horizontal="centerContinuous"/>
    </xf>
    <xf numFmtId="0" fontId="9" fillId="0" borderId="0" xfId="0" applyFont="1" applyAlignment="1">
      <alignment horizontal="centerContinuous"/>
    </xf>
    <xf numFmtId="0" fontId="8" fillId="0" borderId="0" xfId="0" applyNumberFormat="1" applyFont="1" applyAlignment="1">
      <alignment horizontal="right"/>
    </xf>
    <xf numFmtId="165" fontId="3" fillId="0" borderId="9" xfId="0" applyNumberFormat="1" applyFont="1" applyBorder="1"/>
    <xf numFmtId="165" fontId="3" fillId="0" borderId="10" xfId="0" applyNumberFormat="1" applyFont="1" applyBorder="1"/>
    <xf numFmtId="3" fontId="7" fillId="0" borderId="0" xfId="0" applyNumberFormat="1" applyFont="1" applyBorder="1"/>
    <xf numFmtId="172" fontId="3" fillId="0" borderId="11" xfId="3" applyNumberFormat="1" applyFont="1" applyBorder="1"/>
    <xf numFmtId="172" fontId="3" fillId="0" borderId="12" xfId="3" applyNumberFormat="1" applyFont="1" applyBorder="1"/>
    <xf numFmtId="172" fontId="7" fillId="0" borderId="11" xfId="3" applyNumberFormat="1" applyFont="1" applyBorder="1"/>
    <xf numFmtId="41" fontId="0" fillId="0" borderId="0" xfId="3" applyFont="1"/>
    <xf numFmtId="166" fontId="0" fillId="0" borderId="0" xfId="0" applyNumberFormat="1"/>
    <xf numFmtId="41" fontId="3" fillId="0" borderId="0" xfId="3" applyFont="1" applyAlignment="1">
      <alignment horizontal="center"/>
    </xf>
    <xf numFmtId="168" fontId="3" fillId="0" borderId="1" xfId="3" applyNumberFormat="1" applyFont="1" applyBorder="1"/>
    <xf numFmtId="168" fontId="7" fillId="0" borderId="1" xfId="3" applyNumberFormat="1" applyFont="1" applyBorder="1"/>
    <xf numFmtId="168" fontId="3" fillId="0" borderId="2" xfId="3" applyNumberFormat="1" applyFont="1" applyBorder="1"/>
    <xf numFmtId="41" fontId="7" fillId="0" borderId="13" xfId="3" applyFont="1" applyBorder="1"/>
    <xf numFmtId="41" fontId="3" fillId="0" borderId="11" xfId="3" applyFont="1" applyBorder="1"/>
    <xf numFmtId="41" fontId="7" fillId="0" borderId="11" xfId="3" applyFont="1" applyBorder="1"/>
    <xf numFmtId="41" fontId="3" fillId="0" borderId="14" xfId="3" applyFont="1" applyBorder="1"/>
    <xf numFmtId="41" fontId="3" fillId="0" borderId="15" xfId="3" applyFont="1" applyBorder="1"/>
    <xf numFmtId="41" fontId="3" fillId="0" borderId="16" xfId="3" applyFont="1" applyBorder="1"/>
    <xf numFmtId="0" fontId="0" fillId="0" borderId="11" xfId="0" applyBorder="1"/>
    <xf numFmtId="170" fontId="3" fillId="0" borderId="15" xfId="0" applyNumberFormat="1" applyFont="1" applyBorder="1"/>
    <xf numFmtId="170" fontId="3" fillId="0" borderId="16" xfId="0" applyNumberFormat="1" applyFont="1" applyBorder="1"/>
    <xf numFmtId="166" fontId="0" fillId="0" borderId="0" xfId="0" applyNumberFormat="1" applyBorder="1"/>
    <xf numFmtId="0" fontId="0" fillId="0" borderId="14" xfId="0" applyBorder="1"/>
    <xf numFmtId="0" fontId="0" fillId="0" borderId="17" xfId="0" applyBorder="1"/>
    <xf numFmtId="41" fontId="3" fillId="0" borderId="18" xfId="3" applyFont="1" applyBorder="1"/>
    <xf numFmtId="0" fontId="3" fillId="0" borderId="19" xfId="0" applyNumberFormat="1" applyFont="1" applyBorder="1" applyAlignment="1">
      <alignment horizontal="center"/>
    </xf>
    <xf numFmtId="0" fontId="3" fillId="0" borderId="17" xfId="0" applyNumberFormat="1" applyFont="1" applyBorder="1" applyAlignment="1">
      <alignment horizontal="center"/>
    </xf>
    <xf numFmtId="0" fontId="0" fillId="0" borderId="20" xfId="0" applyBorder="1" applyAlignment="1">
      <alignment horizontal="center"/>
    </xf>
    <xf numFmtId="0" fontId="0" fillId="0" borderId="20" xfId="0" applyBorder="1"/>
    <xf numFmtId="0" fontId="0" fillId="0" borderId="21" xfId="0" applyBorder="1"/>
    <xf numFmtId="41" fontId="7" fillId="0" borderId="14" xfId="0" applyNumberFormat="1" applyFont="1" applyBorder="1"/>
    <xf numFmtId="41" fontId="7" fillId="0" borderId="16" xfId="0" applyNumberFormat="1" applyFont="1" applyBorder="1"/>
    <xf numFmtId="172" fontId="7" fillId="0" borderId="14" xfId="3" applyNumberFormat="1" applyFont="1" applyBorder="1"/>
    <xf numFmtId="166" fontId="0" fillId="0" borderId="1" xfId="0" applyNumberFormat="1" applyBorder="1"/>
    <xf numFmtId="41" fontId="0" fillId="0" borderId="21" xfId="3" applyFont="1" applyBorder="1"/>
    <xf numFmtId="172" fontId="3" fillId="0" borderId="15" xfId="3" applyNumberFormat="1" applyFont="1" applyBorder="1"/>
    <xf numFmtId="172" fontId="0" fillId="0" borderId="18" xfId="3" applyNumberFormat="1" applyFont="1" applyBorder="1"/>
    <xf numFmtId="41" fontId="3" fillId="0" borderId="20" xfId="3" applyFont="1" applyBorder="1"/>
    <xf numFmtId="168" fontId="0" fillId="0" borderId="1" xfId="0" applyNumberFormat="1" applyBorder="1"/>
    <xf numFmtId="168" fontId="0" fillId="0" borderId="2" xfId="0" applyNumberFormat="1" applyBorder="1"/>
    <xf numFmtId="41" fontId="3" fillId="0" borderId="21" xfId="3" applyFont="1" applyBorder="1"/>
    <xf numFmtId="41" fontId="0" fillId="0" borderId="2" xfId="0" applyNumberFormat="1" applyBorder="1" applyAlignment="1">
      <alignment horizontal="center"/>
    </xf>
    <xf numFmtId="41" fontId="0" fillId="0" borderId="14" xfId="0" applyNumberFormat="1" applyBorder="1"/>
    <xf numFmtId="0" fontId="0" fillId="0" borderId="21" xfId="0" applyBorder="1" applyAlignment="1">
      <alignment horizontal="center"/>
    </xf>
    <xf numFmtId="0" fontId="0" fillId="0" borderId="22" xfId="0" applyBorder="1"/>
    <xf numFmtId="0" fontId="3" fillId="0" borderId="4" xfId="0" applyNumberFormat="1" applyFont="1" applyBorder="1" applyAlignment="1">
      <alignment horizontal="right"/>
    </xf>
    <xf numFmtId="0" fontId="3" fillId="0" borderId="18" xfId="0" applyNumberFormat="1" applyFont="1" applyBorder="1" applyAlignment="1">
      <alignment horizontal="left"/>
    </xf>
    <xf numFmtId="41" fontId="0" fillId="0" borderId="22" xfId="3" applyFont="1" applyBorder="1"/>
    <xf numFmtId="41" fontId="3" fillId="0" borderId="17" xfId="3" applyFont="1" applyBorder="1"/>
    <xf numFmtId="166" fontId="0" fillId="0" borderId="23" xfId="0" applyNumberFormat="1" applyBorder="1"/>
    <xf numFmtId="170" fontId="3" fillId="0" borderId="24" xfId="0" applyNumberFormat="1" applyFont="1" applyBorder="1"/>
    <xf numFmtId="0" fontId="0" fillId="0" borderId="16" xfId="0" applyBorder="1"/>
    <xf numFmtId="0" fontId="0" fillId="0" borderId="0" xfId="0" applyBorder="1"/>
    <xf numFmtId="41" fontId="10" fillId="0" borderId="0" xfId="3" applyFont="1" applyBorder="1"/>
    <xf numFmtId="41" fontId="7" fillId="0" borderId="0" xfId="0" applyNumberFormat="1" applyFont="1" applyBorder="1"/>
    <xf numFmtId="41" fontId="3" fillId="0" borderId="25" xfId="3" applyFont="1" applyBorder="1"/>
    <xf numFmtId="172" fontId="7" fillId="0" borderId="19" xfId="3" applyNumberFormat="1" applyFont="1" applyBorder="1"/>
    <xf numFmtId="172" fontId="7" fillId="0" borderId="17" xfId="3" applyNumberFormat="1" applyFont="1" applyBorder="1"/>
    <xf numFmtId="41" fontId="3" fillId="0" borderId="26" xfId="3" applyFont="1" applyBorder="1"/>
    <xf numFmtId="0" fontId="0" fillId="0" borderId="25" xfId="0" applyBorder="1"/>
    <xf numFmtId="41" fontId="0" fillId="0" borderId="25" xfId="0" applyNumberFormat="1" applyBorder="1"/>
    <xf numFmtId="168" fontId="0" fillId="0" borderId="27" xfId="0" applyNumberFormat="1" applyBorder="1"/>
    <xf numFmtId="0" fontId="0" fillId="0" borderId="20" xfId="0" quotePrefix="1" applyBorder="1" applyAlignment="1">
      <alignment horizontal="center"/>
    </xf>
    <xf numFmtId="1" fontId="0" fillId="0" borderId="0" xfId="0" applyNumberFormat="1"/>
    <xf numFmtId="41" fontId="3" fillId="0" borderId="9" xfId="3" applyFont="1" applyBorder="1"/>
    <xf numFmtId="0" fontId="3" fillId="0" borderId="28" xfId="0" applyNumberFormat="1" applyFont="1" applyBorder="1" applyAlignment="1">
      <alignment horizontal="center"/>
    </xf>
    <xf numFmtId="41" fontId="7" fillId="0" borderId="1" xfId="3" applyFont="1" applyBorder="1"/>
    <xf numFmtId="41" fontId="3" fillId="0" borderId="29" xfId="3" applyFont="1" applyBorder="1"/>
    <xf numFmtId="0" fontId="3" fillId="0" borderId="25" xfId="0" applyNumberFormat="1" applyFont="1" applyBorder="1" applyAlignment="1">
      <alignment horizontal="center"/>
    </xf>
    <xf numFmtId="41" fontId="15" fillId="0" borderId="13" xfId="3" applyFont="1" applyBorder="1"/>
    <xf numFmtId="41" fontId="14" fillId="0" borderId="13" xfId="3" applyFont="1" applyBorder="1"/>
    <xf numFmtId="41" fontId="14" fillId="0" borderId="11" xfId="3" applyFont="1" applyBorder="1"/>
    <xf numFmtId="41" fontId="3" fillId="0" borderId="24" xfId="3" applyFont="1" applyBorder="1"/>
    <xf numFmtId="41" fontId="7" fillId="0" borderId="29" xfId="3" applyFont="1" applyBorder="1"/>
    <xf numFmtId="172" fontId="7" fillId="0" borderId="30" xfId="3" applyNumberFormat="1" applyFont="1" applyBorder="1"/>
    <xf numFmtId="172" fontId="7" fillId="0" borderId="28" xfId="3" applyNumberFormat="1" applyFont="1" applyBorder="1"/>
    <xf numFmtId="3" fontId="3" fillId="0" borderId="0" xfId="3" applyNumberFormat="1" applyFont="1" applyBorder="1"/>
    <xf numFmtId="170" fontId="3" fillId="0" borderId="5" xfId="0" applyNumberFormat="1" applyFont="1" applyBorder="1" applyAlignment="1">
      <alignment horizontal="right"/>
    </xf>
    <xf numFmtId="0" fontId="3" fillId="0" borderId="5" xfId="0" applyNumberFormat="1" applyFont="1" applyBorder="1" applyAlignment="1">
      <alignment horizontal="center"/>
    </xf>
    <xf numFmtId="0" fontId="3" fillId="0" borderId="2" xfId="0" applyNumberFormat="1" applyFont="1" applyBorder="1" applyAlignment="1">
      <alignment horizontal="center"/>
    </xf>
    <xf numFmtId="165" fontId="3" fillId="0" borderId="5" xfId="0" applyNumberFormat="1" applyFont="1" applyBorder="1" applyAlignment="1">
      <alignment horizontal="center"/>
    </xf>
    <xf numFmtId="3" fontId="3" fillId="0" borderId="5" xfId="3" applyNumberFormat="1" applyFont="1" applyBorder="1" applyAlignment="1">
      <alignment horizontal="center"/>
    </xf>
    <xf numFmtId="166" fontId="3" fillId="0" borderId="30" xfId="0" applyNumberFormat="1" applyFont="1" applyBorder="1" applyAlignment="1">
      <alignment horizontal="center"/>
    </xf>
    <xf numFmtId="172" fontId="3" fillId="0" borderId="5" xfId="3" applyNumberFormat="1" applyFont="1" applyBorder="1" applyAlignment="1">
      <alignment horizontal="center"/>
    </xf>
    <xf numFmtId="0" fontId="3" fillId="0" borderId="14" xfId="0" applyNumberFormat="1" applyFont="1" applyBorder="1" applyAlignment="1">
      <alignment horizontal="center"/>
    </xf>
    <xf numFmtId="164" fontId="3" fillId="0" borderId="5" xfId="0" applyNumberFormat="1" applyFont="1" applyBorder="1" applyAlignment="1">
      <alignment horizontal="center"/>
    </xf>
    <xf numFmtId="170" fontId="3" fillId="0" borderId="5" xfId="0" applyNumberFormat="1" applyFont="1" applyBorder="1" applyAlignment="1">
      <alignment horizontal="center"/>
    </xf>
    <xf numFmtId="176" fontId="5" fillId="0" borderId="21" xfId="0" applyNumberFormat="1" applyFont="1" applyBorder="1" applyAlignment="1">
      <alignment horizontal="centerContinuous"/>
    </xf>
    <xf numFmtId="169" fontId="5" fillId="0" borderId="5" xfId="3" applyNumberFormat="1" applyFont="1" applyBorder="1" applyAlignment="1">
      <alignment horizontal="centerContinuous"/>
    </xf>
    <xf numFmtId="177" fontId="6" fillId="0" borderId="5" xfId="3" applyNumberFormat="1" applyFont="1" applyBorder="1" applyAlignment="1">
      <alignment horizontal="centerContinuous"/>
    </xf>
    <xf numFmtId="165" fontId="3" fillId="0" borderId="30" xfId="0" applyNumberFormat="1" applyFont="1" applyBorder="1" applyAlignment="1">
      <alignment horizontal="centerContinuous"/>
    </xf>
    <xf numFmtId="3" fontId="3" fillId="0" borderId="5" xfId="0" applyNumberFormat="1" applyFont="1" applyBorder="1" applyAlignment="1">
      <alignment horizontal="centerContinuous"/>
    </xf>
    <xf numFmtId="3" fontId="3" fillId="0" borderId="2" xfId="0" applyNumberFormat="1" applyFont="1" applyBorder="1" applyAlignment="1">
      <alignment horizontal="centerContinuous"/>
    </xf>
    <xf numFmtId="172" fontId="3" fillId="0" borderId="14" xfId="3" applyNumberFormat="1" applyFont="1" applyBorder="1" applyAlignment="1">
      <alignment horizontal="center"/>
    </xf>
    <xf numFmtId="41" fontId="7" fillId="0" borderId="9" xfId="3" applyFont="1" applyBorder="1"/>
    <xf numFmtId="41" fontId="3" fillId="0" borderId="13" xfId="3" applyNumberFormat="1" applyFont="1" applyBorder="1"/>
    <xf numFmtId="166" fontId="0" fillId="0" borderId="2" xfId="0" applyNumberFormat="1" applyBorder="1"/>
    <xf numFmtId="41" fontId="0" fillId="0" borderId="16" xfId="3" applyFont="1" applyBorder="1"/>
    <xf numFmtId="0" fontId="3" fillId="0" borderId="22" xfId="3" applyNumberFormat="1" applyFont="1" applyBorder="1" applyAlignment="1">
      <alignment horizontal="right"/>
    </xf>
    <xf numFmtId="41" fontId="0" fillId="0" borderId="0" xfId="0" applyNumberFormat="1"/>
    <xf numFmtId="41" fontId="7" fillId="0" borderId="9" xfId="3" applyFont="1" applyFill="1" applyBorder="1"/>
    <xf numFmtId="41" fontId="3" fillId="0" borderId="9" xfId="3" applyFont="1" applyFill="1" applyBorder="1"/>
    <xf numFmtId="3" fontId="7" fillId="0" borderId="0" xfId="3" applyNumberFormat="1" applyFont="1" applyBorder="1"/>
    <xf numFmtId="3" fontId="11" fillId="0" borderId="0" xfId="3" applyNumberFormat="1" applyFont="1"/>
    <xf numFmtId="41" fontId="11" fillId="2" borderId="26" xfId="3" applyFont="1" applyFill="1" applyBorder="1"/>
    <xf numFmtId="166" fontId="7" fillId="0" borderId="0" xfId="0" applyNumberFormat="1" applyFont="1"/>
    <xf numFmtId="166" fontId="7" fillId="0" borderId="16" xfId="0" applyNumberFormat="1" applyFont="1" applyBorder="1" applyAlignment="1">
      <alignment horizontal="center"/>
    </xf>
    <xf numFmtId="166" fontId="7" fillId="0" borderId="0" xfId="0" applyNumberFormat="1" applyFont="1" applyBorder="1" applyAlignment="1">
      <alignment horizontal="center"/>
    </xf>
    <xf numFmtId="175" fontId="0" fillId="0" borderId="0" xfId="3" applyNumberFormat="1" applyFont="1"/>
    <xf numFmtId="181" fontId="7" fillId="0" borderId="0" xfId="0" applyNumberFormat="1" applyFont="1" applyBorder="1" applyAlignment="1">
      <alignment horizontal="center"/>
    </xf>
    <xf numFmtId="3" fontId="3" fillId="0" borderId="8" xfId="3" applyNumberFormat="1" applyFont="1" applyBorder="1"/>
    <xf numFmtId="41" fontId="3" fillId="0" borderId="25" xfId="3" applyFont="1" applyFill="1" applyBorder="1"/>
    <xf numFmtId="41" fontId="7" fillId="0" borderId="11" xfId="3" applyFont="1" applyFill="1" applyBorder="1"/>
    <xf numFmtId="41" fontId="3" fillId="0" borderId="11" xfId="3" applyFont="1" applyFill="1" applyBorder="1"/>
    <xf numFmtId="172" fontId="7" fillId="0" borderId="5" xfId="3" applyNumberFormat="1" applyFont="1" applyBorder="1"/>
    <xf numFmtId="41" fontId="3" fillId="0" borderId="0" xfId="3" applyFont="1" applyBorder="1"/>
    <xf numFmtId="41" fontId="3" fillId="0" borderId="29" xfId="3" applyFont="1" applyFill="1" applyBorder="1"/>
    <xf numFmtId="180" fontId="11" fillId="0" borderId="0" xfId="2" applyNumberFormat="1" applyFont="1"/>
    <xf numFmtId="172" fontId="10" fillId="0" borderId="0" xfId="3" applyNumberFormat="1" applyFont="1" applyBorder="1"/>
    <xf numFmtId="41" fontId="7" fillId="0" borderId="16" xfId="3" applyFont="1" applyBorder="1"/>
    <xf numFmtId="41" fontId="5" fillId="0" borderId="31" xfId="3" applyFont="1" applyBorder="1" applyAlignment="1">
      <alignment horizontal="center"/>
    </xf>
    <xf numFmtId="41" fontId="3" fillId="0" borderId="15" xfId="3" applyFont="1" applyFill="1" applyBorder="1"/>
    <xf numFmtId="41" fontId="5" fillId="0" borderId="32" xfId="3" applyFont="1" applyBorder="1" applyAlignment="1">
      <alignment horizontal="center"/>
    </xf>
    <xf numFmtId="41" fontId="0" fillId="0" borderId="0" xfId="3" applyFont="1" applyBorder="1"/>
    <xf numFmtId="172" fontId="0" fillId="0" borderId="0" xfId="3" applyNumberFormat="1" applyFont="1" applyBorder="1"/>
    <xf numFmtId="180" fontId="0" fillId="0" borderId="0" xfId="2" applyNumberFormat="1" applyFont="1"/>
    <xf numFmtId="1" fontId="3" fillId="0" borderId="0" xfId="3" applyNumberFormat="1" applyFont="1"/>
    <xf numFmtId="1" fontId="3" fillId="0" borderId="0" xfId="3" applyNumberFormat="1" applyFont="1" applyBorder="1"/>
    <xf numFmtId="1" fontId="3" fillId="0" borderId="30" xfId="3" applyNumberFormat="1" applyFont="1" applyBorder="1"/>
    <xf numFmtId="1" fontId="3" fillId="0" borderId="30" xfId="3" applyNumberFormat="1" applyFont="1" applyBorder="1" applyAlignment="1">
      <alignment horizontal="center"/>
    </xf>
    <xf numFmtId="1" fontId="3" fillId="0" borderId="9" xfId="3" applyNumberFormat="1" applyFont="1" applyBorder="1"/>
    <xf numFmtId="1" fontId="3" fillId="0" borderId="10" xfId="3" applyNumberFormat="1" applyFont="1" applyBorder="1"/>
    <xf numFmtId="1" fontId="3" fillId="0" borderId="33" xfId="3" applyNumberFormat="1" applyFont="1" applyBorder="1"/>
    <xf numFmtId="1" fontId="7" fillId="0" borderId="9" xfId="3" applyNumberFormat="1" applyFont="1" applyBorder="1"/>
    <xf numFmtId="167" fontId="6" fillId="0" borderId="0" xfId="0" applyNumberFormat="1" applyFont="1"/>
    <xf numFmtId="167" fontId="6" fillId="0" borderId="0" xfId="0" applyNumberFormat="1" applyFont="1" applyBorder="1"/>
    <xf numFmtId="0" fontId="6" fillId="0" borderId="0" xfId="0" applyFont="1"/>
    <xf numFmtId="164" fontId="6" fillId="0" borderId="0" xfId="0" applyNumberFormat="1" applyFont="1"/>
    <xf numFmtId="172" fontId="6" fillId="0" borderId="0" xfId="3" applyNumberFormat="1" applyFont="1"/>
    <xf numFmtId="172" fontId="6" fillId="0" borderId="0" xfId="3" applyNumberFormat="1" applyFont="1" applyBorder="1"/>
    <xf numFmtId="171" fontId="6" fillId="0" borderId="0" xfId="3" applyNumberFormat="1" applyFont="1" applyAlignment="1"/>
    <xf numFmtId="0" fontId="6" fillId="0" borderId="5" xfId="0" applyNumberFormat="1" applyFont="1" applyBorder="1"/>
    <xf numFmtId="172" fontId="6" fillId="0" borderId="5" xfId="3" applyNumberFormat="1" applyFont="1" applyBorder="1" applyAlignment="1">
      <alignment horizontal="center"/>
    </xf>
    <xf numFmtId="172" fontId="6" fillId="0" borderId="7" xfId="3" applyNumberFormat="1" applyFont="1" applyBorder="1"/>
    <xf numFmtId="172" fontId="6" fillId="0" borderId="8" xfId="3" applyNumberFormat="1" applyFont="1" applyBorder="1"/>
    <xf numFmtId="172" fontId="18" fillId="0" borderId="0" xfId="3" applyNumberFormat="1" applyFont="1"/>
    <xf numFmtId="1" fontId="3" fillId="0" borderId="0" xfId="0" applyNumberFormat="1" applyFont="1" applyAlignment="1"/>
    <xf numFmtId="41" fontId="12" fillId="0" borderId="11" xfId="3" applyFont="1" applyFill="1" applyBorder="1"/>
    <xf numFmtId="41" fontId="7" fillId="0" borderId="24" xfId="3" applyFont="1" applyFill="1" applyBorder="1"/>
    <xf numFmtId="41" fontId="7" fillId="0" borderId="15" xfId="3" applyFont="1" applyFill="1" applyBorder="1"/>
    <xf numFmtId="41" fontId="3" fillId="0" borderId="14" xfId="3" applyFont="1" applyFill="1" applyBorder="1"/>
    <xf numFmtId="0" fontId="3" fillId="0" borderId="0" xfId="0" applyNumberFormat="1" applyFont="1" applyFill="1" applyBorder="1" applyAlignment="1">
      <alignment horizontal="center"/>
    </xf>
    <xf numFmtId="0" fontId="3" fillId="0" borderId="0" xfId="0" applyFont="1" applyAlignment="1">
      <alignment wrapText="1"/>
    </xf>
    <xf numFmtId="0" fontId="19" fillId="0" borderId="0" xfId="0" applyFont="1" applyAlignment="1">
      <alignment wrapText="1"/>
    </xf>
    <xf numFmtId="0" fontId="0" fillId="0" borderId="0" xfId="0" applyAlignment="1">
      <alignment vertical="top"/>
    </xf>
    <xf numFmtId="0" fontId="7" fillId="0" borderId="0" xfId="0" applyFont="1" applyAlignment="1">
      <alignment vertical="top"/>
    </xf>
    <xf numFmtId="41" fontId="12" fillId="0" borderId="25" xfId="3" applyFont="1" applyFill="1" applyBorder="1"/>
    <xf numFmtId="41" fontId="0" fillId="0" borderId="11" xfId="3" applyFont="1" applyBorder="1"/>
    <xf numFmtId="0" fontId="3" fillId="0" borderId="0" xfId="0" applyFont="1" applyAlignment="1">
      <alignment vertical="top" wrapText="1"/>
    </xf>
    <xf numFmtId="3" fontId="2" fillId="0" borderId="0" xfId="3" applyNumberFormat="1" applyFont="1" applyBorder="1"/>
    <xf numFmtId="3" fontId="2" fillId="0" borderId="0" xfId="0" applyNumberFormat="1" applyFont="1" applyBorder="1"/>
    <xf numFmtId="3" fontId="1" fillId="0" borderId="1" xfId="3" applyNumberFormat="1" applyFont="1" applyBorder="1"/>
    <xf numFmtId="3" fontId="1" fillId="0" borderId="0" xfId="3" applyNumberFormat="1" applyFont="1" applyBorder="1"/>
    <xf numFmtId="172" fontId="1" fillId="0" borderId="11" xfId="3" applyNumberFormat="1" applyFont="1" applyBorder="1"/>
    <xf numFmtId="172" fontId="1" fillId="0" borderId="0" xfId="3" applyNumberFormat="1" applyFont="1" applyBorder="1"/>
    <xf numFmtId="1" fontId="1" fillId="0" borderId="9" xfId="3" applyNumberFormat="1" applyFont="1" applyBorder="1"/>
    <xf numFmtId="3" fontId="1" fillId="0" borderId="1" xfId="0" applyNumberFormat="1" applyFont="1" applyBorder="1"/>
    <xf numFmtId="174" fontId="1" fillId="0" borderId="1" xfId="3" applyNumberFormat="1" applyFont="1" applyBorder="1"/>
    <xf numFmtId="0" fontId="1" fillId="0" borderId="0" xfId="0" applyFont="1" applyAlignment="1">
      <alignment horizontal="center"/>
    </xf>
    <xf numFmtId="170" fontId="2" fillId="0" borderId="0" xfId="0" applyNumberFormat="1" applyFont="1" applyAlignment="1"/>
    <xf numFmtId="3" fontId="5" fillId="0" borderId="0" xfId="0" applyNumberFormat="1" applyFont="1" applyAlignment="1">
      <alignment horizontal="left"/>
    </xf>
    <xf numFmtId="3" fontId="1" fillId="0" borderId="0" xfId="0" applyNumberFormat="1" applyFont="1"/>
    <xf numFmtId="173" fontId="1" fillId="0" borderId="1" xfId="3" applyNumberFormat="1" applyFont="1" applyBorder="1"/>
    <xf numFmtId="172" fontId="2" fillId="0" borderId="11" xfId="3" applyNumberFormat="1" applyFont="1" applyBorder="1"/>
    <xf numFmtId="0" fontId="1" fillId="0" borderId="0" xfId="0" applyFont="1"/>
    <xf numFmtId="2" fontId="1" fillId="0" borderId="1" xfId="0" applyNumberFormat="1" applyFont="1" applyFill="1" applyBorder="1"/>
    <xf numFmtId="41" fontId="12" fillId="0" borderId="9" xfId="3" applyFont="1" applyFill="1" applyBorder="1"/>
    <xf numFmtId="0" fontId="1" fillId="0" borderId="17" xfId="0" applyNumberFormat="1" applyFont="1" applyBorder="1" applyAlignment="1">
      <alignment horizontal="center"/>
    </xf>
    <xf numFmtId="41" fontId="21" fillId="0" borderId="11" xfId="3" applyFont="1" applyFill="1" applyBorder="1"/>
    <xf numFmtId="41" fontId="1" fillId="0" borderId="11" xfId="3" applyFont="1" applyFill="1" applyBorder="1"/>
    <xf numFmtId="41" fontId="1" fillId="0" borderId="35" xfId="3" applyFont="1" applyBorder="1"/>
    <xf numFmtId="0" fontId="1" fillId="0" borderId="28" xfId="0" applyNumberFormat="1" applyFont="1" applyBorder="1" applyAlignment="1">
      <alignment horizontal="center"/>
    </xf>
    <xf numFmtId="41" fontId="1" fillId="0" borderId="11" xfId="3" applyFont="1" applyBorder="1"/>
    <xf numFmtId="41" fontId="1" fillId="0" borderId="13" xfId="3" applyFont="1" applyBorder="1"/>
    <xf numFmtId="41" fontId="1" fillId="0" borderId="25" xfId="3" applyFont="1" applyBorder="1"/>
    <xf numFmtId="41" fontId="22" fillId="0" borderId="11" xfId="3" applyFont="1" applyFill="1" applyBorder="1"/>
    <xf numFmtId="41" fontId="1" fillId="0" borderId="25" xfId="3" applyFont="1" applyFill="1" applyBorder="1"/>
    <xf numFmtId="41" fontId="21" fillId="0" borderId="15" xfId="3" applyFont="1" applyBorder="1"/>
    <xf numFmtId="41" fontId="21" fillId="0" borderId="11" xfId="3" applyFont="1" applyBorder="1"/>
    <xf numFmtId="41" fontId="3" fillId="0" borderId="36" xfId="3" applyFont="1" applyBorder="1"/>
    <xf numFmtId="0" fontId="0" fillId="0" borderId="37" xfId="0" applyBorder="1"/>
    <xf numFmtId="168" fontId="0" fillId="0" borderId="38" xfId="0" applyNumberFormat="1" applyBorder="1"/>
    <xf numFmtId="0" fontId="0" fillId="0" borderId="0" xfId="3" applyNumberFormat="1" applyFont="1"/>
    <xf numFmtId="41" fontId="1" fillId="0" borderId="14" xfId="3" applyFont="1" applyFill="1" applyBorder="1"/>
    <xf numFmtId="0" fontId="0" fillId="0" borderId="26" xfId="0" applyBorder="1" applyAlignment="1">
      <alignment horizontal="center"/>
    </xf>
    <xf numFmtId="168" fontId="3" fillId="0" borderId="27" xfId="3" applyNumberFormat="1" applyFont="1" applyBorder="1"/>
    <xf numFmtId="0" fontId="0" fillId="0" borderId="39" xfId="0" applyBorder="1" applyAlignment="1">
      <alignment horizontal="center"/>
    </xf>
    <xf numFmtId="170" fontId="3" fillId="0" borderId="40" xfId="0" applyNumberFormat="1" applyFont="1" applyBorder="1"/>
    <xf numFmtId="41" fontId="3" fillId="0" borderId="10" xfId="3" applyFont="1" applyBorder="1"/>
    <xf numFmtId="41" fontId="15" fillId="0" borderId="12" xfId="3" applyFont="1" applyBorder="1"/>
    <xf numFmtId="41" fontId="15" fillId="0" borderId="40" xfId="3" applyFont="1" applyBorder="1"/>
    <xf numFmtId="168" fontId="7" fillId="0" borderId="6" xfId="3" applyNumberFormat="1" applyFont="1" applyBorder="1"/>
    <xf numFmtId="41" fontId="11" fillId="0" borderId="41" xfId="3" applyFont="1" applyBorder="1"/>
    <xf numFmtId="41" fontId="3" fillId="0" borderId="7" xfId="3" applyFont="1" applyBorder="1"/>
    <xf numFmtId="41" fontId="7" fillId="0" borderId="10" xfId="3" applyFont="1" applyFill="1" applyBorder="1"/>
    <xf numFmtId="41" fontId="7" fillId="0" borderId="12" xfId="3" applyFont="1" applyFill="1" applyBorder="1"/>
    <xf numFmtId="41" fontId="3" fillId="0" borderId="40" xfId="3" applyFont="1" applyFill="1" applyBorder="1"/>
    <xf numFmtId="41" fontId="3" fillId="0" borderId="12" xfId="3" applyFont="1" applyFill="1" applyBorder="1"/>
    <xf numFmtId="41" fontId="12" fillId="0" borderId="12" xfId="3" applyFont="1" applyFill="1" applyBorder="1"/>
    <xf numFmtId="41" fontId="3" fillId="0" borderId="10" xfId="3" applyFont="1" applyFill="1" applyBorder="1"/>
    <xf numFmtId="41" fontId="1" fillId="0" borderId="12" xfId="3" applyFont="1" applyFill="1" applyBorder="1"/>
    <xf numFmtId="41" fontId="3" fillId="0" borderId="12" xfId="3" applyFont="1" applyBorder="1"/>
    <xf numFmtId="41" fontId="3" fillId="0" borderId="40" xfId="3" applyFont="1" applyBorder="1"/>
    <xf numFmtId="168" fontId="3" fillId="0" borderId="6" xfId="3" applyNumberFormat="1" applyFont="1" applyBorder="1"/>
    <xf numFmtId="41" fontId="3" fillId="0" borderId="41" xfId="3" applyFont="1" applyBorder="1"/>
    <xf numFmtId="41" fontId="14" fillId="0" borderId="12" xfId="3" applyFont="1" applyBorder="1"/>
    <xf numFmtId="41" fontId="1" fillId="0" borderId="41" xfId="3" applyFont="1" applyBorder="1"/>
    <xf numFmtId="41" fontId="13" fillId="0" borderId="12" xfId="3" applyFont="1" applyFill="1" applyBorder="1"/>
    <xf numFmtId="41" fontId="20" fillId="0" borderId="12" xfId="3" applyFont="1" applyFill="1" applyBorder="1"/>
    <xf numFmtId="41" fontId="1" fillId="0" borderId="12" xfId="3" applyFont="1" applyBorder="1"/>
    <xf numFmtId="41" fontId="7" fillId="0" borderId="12" xfId="3" applyFont="1" applyBorder="1"/>
    <xf numFmtId="41" fontId="0" fillId="0" borderId="37" xfId="3" applyFont="1" applyBorder="1"/>
    <xf numFmtId="41" fontId="23" fillId="0" borderId="12" xfId="3" applyFont="1" applyFill="1" applyBorder="1"/>
    <xf numFmtId="41" fontId="15" fillId="0" borderId="11" xfId="3" applyFont="1" applyBorder="1"/>
    <xf numFmtId="182" fontId="3" fillId="0" borderId="0" xfId="0" quotePrefix="1" applyNumberFormat="1" applyFont="1" applyBorder="1" applyAlignment="1">
      <alignment horizontal="right"/>
    </xf>
    <xf numFmtId="182" fontId="3" fillId="0" borderId="7" xfId="0" quotePrefix="1" applyNumberFormat="1" applyFont="1" applyBorder="1" applyAlignment="1">
      <alignment horizontal="right"/>
    </xf>
    <xf numFmtId="183" fontId="6" fillId="0" borderId="20" xfId="0" applyNumberFormat="1" applyFont="1" applyBorder="1" applyAlignment="1"/>
    <xf numFmtId="183" fontId="6" fillId="0" borderId="39" xfId="0" applyNumberFormat="1" applyFont="1" applyBorder="1" applyAlignment="1"/>
    <xf numFmtId="183" fontId="6" fillId="0" borderId="0" xfId="0" applyNumberFormat="1" applyFont="1" applyBorder="1" applyAlignment="1"/>
    <xf numFmtId="183" fontId="6" fillId="0" borderId="42" xfId="0" applyNumberFormat="1" applyFont="1" applyBorder="1" applyAlignment="1"/>
    <xf numFmtId="183" fontId="18" fillId="0" borderId="0" xfId="0" applyNumberFormat="1" applyFont="1" applyBorder="1" applyAlignment="1"/>
    <xf numFmtId="183" fontId="6" fillId="0" borderId="26" xfId="0" applyNumberFormat="1" applyFont="1" applyBorder="1" applyAlignment="1"/>
    <xf numFmtId="172" fontId="25" fillId="0" borderId="14" xfId="3" applyNumberFormat="1" applyFont="1" applyBorder="1"/>
    <xf numFmtId="41" fontId="26" fillId="0" borderId="25" xfId="3" applyFont="1" applyBorder="1"/>
    <xf numFmtId="0" fontId="1" fillId="0" borderId="4" xfId="0" applyNumberFormat="1" applyFont="1" applyBorder="1" applyAlignment="1">
      <alignment horizontal="center"/>
    </xf>
    <xf numFmtId="41" fontId="24" fillId="0" borderId="13" xfId="3" applyFont="1" applyBorder="1"/>
    <xf numFmtId="184" fontId="6" fillId="0" borderId="0" xfId="0" applyNumberFormat="1" applyFont="1"/>
    <xf numFmtId="185" fontId="3" fillId="0" borderId="43" xfId="0" applyNumberFormat="1" applyFont="1" applyBorder="1" applyAlignment="1">
      <alignment horizontal="center"/>
    </xf>
    <xf numFmtId="0" fontId="2" fillId="0" borderId="0" xfId="0" applyNumberFormat="1" applyFont="1" applyAlignment="1">
      <alignment horizontal="left"/>
    </xf>
    <xf numFmtId="41" fontId="1" fillId="0" borderId="44" xfId="3" applyFont="1" applyFill="1" applyBorder="1"/>
    <xf numFmtId="0" fontId="0" fillId="0" borderId="0" xfId="0" applyNumberFormat="1"/>
    <xf numFmtId="0" fontId="0" fillId="0" borderId="45" xfId="0" applyBorder="1"/>
    <xf numFmtId="41" fontId="3" fillId="0" borderId="46" xfId="3" applyFont="1" applyBorder="1"/>
    <xf numFmtId="166" fontId="0" fillId="0" borderId="47" xfId="0" applyNumberFormat="1" applyBorder="1"/>
    <xf numFmtId="0" fontId="1" fillId="0" borderId="0" xfId="0" applyNumberFormat="1" applyFont="1"/>
    <xf numFmtId="41" fontId="7" fillId="0" borderId="44" xfId="3" applyFont="1" applyFill="1" applyBorder="1"/>
    <xf numFmtId="172" fontId="3" fillId="0" borderId="37" xfId="3" applyNumberFormat="1" applyFont="1" applyBorder="1"/>
    <xf numFmtId="180" fontId="0" fillId="0" borderId="48" xfId="2" applyNumberFormat="1" applyFont="1" applyBorder="1"/>
    <xf numFmtId="0" fontId="1" fillId="0" borderId="49" xfId="3" applyNumberFormat="1" applyFont="1" applyBorder="1"/>
    <xf numFmtId="0" fontId="0" fillId="0" borderId="5" xfId="3" applyNumberFormat="1" applyFont="1" applyBorder="1"/>
    <xf numFmtId="0" fontId="1" fillId="0" borderId="39" xfId="0" quotePrefix="1" applyFont="1" applyBorder="1" applyAlignment="1">
      <alignment horizontal="center"/>
    </xf>
    <xf numFmtId="2" fontId="1" fillId="0" borderId="1" xfId="0" applyNumberFormat="1" applyFont="1" applyBorder="1" applyAlignment="1">
      <alignment horizontal="center"/>
    </xf>
    <xf numFmtId="173" fontId="1" fillId="0" borderId="1" xfId="3" applyNumberFormat="1" applyFont="1" applyBorder="1" applyAlignment="1">
      <alignment horizontal="center"/>
    </xf>
    <xf numFmtId="166" fontId="1" fillId="0" borderId="1" xfId="0" applyNumberFormat="1" applyFont="1" applyBorder="1" applyAlignment="1">
      <alignment horizontal="center"/>
    </xf>
    <xf numFmtId="0" fontId="2" fillId="0" borderId="3" xfId="0" applyFont="1" applyBorder="1" applyAlignment="1">
      <alignment horizontal="center"/>
    </xf>
    <xf numFmtId="166" fontId="1" fillId="0" borderId="34" xfId="0" applyNumberFormat="1" applyFont="1" applyBorder="1" applyAlignment="1">
      <alignment horizontal="center"/>
    </xf>
    <xf numFmtId="2" fontId="1" fillId="0" borderId="3" xfId="0" applyNumberFormat="1" applyFont="1" applyBorder="1" applyAlignment="1">
      <alignment horizontal="center"/>
    </xf>
    <xf numFmtId="166" fontId="11" fillId="0" borderId="1" xfId="0" applyNumberFormat="1" applyFont="1" applyBorder="1" applyAlignment="1"/>
    <xf numFmtId="166" fontId="1" fillId="0" borderId="1" xfId="0" applyNumberFormat="1" applyFont="1" applyBorder="1" applyAlignment="1"/>
    <xf numFmtId="0" fontId="2" fillId="0" borderId="0" xfId="0" applyNumberFormat="1" applyFont="1"/>
    <xf numFmtId="3" fontId="1" fillId="0" borderId="3" xfId="3" applyNumberFormat="1" applyFont="1" applyBorder="1" applyAlignment="1">
      <alignment horizontal="center"/>
    </xf>
    <xf numFmtId="0" fontId="2" fillId="0" borderId="4" xfId="0" applyNumberFormat="1" applyFont="1" applyBorder="1" applyAlignment="1">
      <alignment horizontal="center"/>
    </xf>
    <xf numFmtId="0" fontId="2" fillId="0" borderId="20" xfId="0" applyNumberFormat="1" applyFont="1" applyBorder="1"/>
    <xf numFmtId="0" fontId="2" fillId="0" borderId="0" xfId="0" applyNumberFormat="1" applyFont="1" applyBorder="1"/>
    <xf numFmtId="3" fontId="1" fillId="0" borderId="38" xfId="0" applyNumberFormat="1" applyFont="1" applyBorder="1"/>
    <xf numFmtId="166" fontId="1" fillId="0" borderId="38" xfId="0" applyNumberFormat="1" applyFont="1" applyBorder="1" applyAlignment="1">
      <alignment horizontal="center"/>
    </xf>
    <xf numFmtId="2" fontId="1" fillId="0" borderId="38" xfId="0" applyNumberFormat="1" applyFont="1" applyFill="1" applyBorder="1"/>
    <xf numFmtId="173" fontId="1" fillId="0" borderId="38" xfId="3" applyNumberFormat="1" applyFont="1" applyBorder="1"/>
    <xf numFmtId="166" fontId="1" fillId="0" borderId="50" xfId="0" applyNumberFormat="1" applyFont="1" applyBorder="1" applyAlignment="1">
      <alignment horizontal="center"/>
    </xf>
    <xf numFmtId="0" fontId="4" fillId="0" borderId="38" xfId="0" applyFont="1" applyBorder="1" applyAlignment="1"/>
    <xf numFmtId="0" fontId="2" fillId="0" borderId="49" xfId="0" applyNumberFormat="1" applyFont="1" applyBorder="1"/>
    <xf numFmtId="166" fontId="1" fillId="0" borderId="38" xfId="0" applyNumberFormat="1" applyFont="1" applyBorder="1" applyAlignment="1"/>
    <xf numFmtId="3" fontId="1" fillId="0" borderId="38" xfId="3" applyNumberFormat="1" applyFont="1" applyBorder="1"/>
    <xf numFmtId="166" fontId="11" fillId="0" borderId="38" xfId="0" applyNumberFormat="1" applyFont="1" applyBorder="1" applyAlignment="1"/>
    <xf numFmtId="174" fontId="1" fillId="0" borderId="38" xfId="3" applyNumberFormat="1" applyFont="1" applyBorder="1"/>
    <xf numFmtId="1" fontId="4" fillId="0" borderId="38" xfId="0" applyNumberFormat="1" applyFont="1" applyBorder="1" applyAlignment="1"/>
    <xf numFmtId="0" fontId="2" fillId="0" borderId="49" xfId="0" applyNumberFormat="1" applyFont="1" applyBorder="1" applyAlignment="1">
      <alignment horizontal="left"/>
    </xf>
    <xf numFmtId="0" fontId="4" fillId="0" borderId="1" xfId="0" applyFont="1" applyFill="1" applyBorder="1" applyAlignment="1"/>
    <xf numFmtId="0" fontId="2" fillId="0" borderId="0" xfId="0" applyNumberFormat="1" applyFont="1" applyFill="1"/>
    <xf numFmtId="2" fontId="1" fillId="0" borderId="1" xfId="0" applyNumberFormat="1" applyFont="1" applyBorder="1" applyAlignment="1"/>
    <xf numFmtId="0" fontId="4" fillId="0" borderId="38" xfId="0" applyFont="1" applyFill="1" applyBorder="1" applyAlignment="1"/>
    <xf numFmtId="0" fontId="2" fillId="0" borderId="49" xfId="0" applyNumberFormat="1" applyFont="1" applyFill="1" applyBorder="1"/>
    <xf numFmtId="0" fontId="2" fillId="0" borderId="0" xfId="0" applyNumberFormat="1" applyFont="1" applyFill="1" applyBorder="1"/>
    <xf numFmtId="186" fontId="2" fillId="0" borderId="0" xfId="0" applyNumberFormat="1" applyFont="1"/>
    <xf numFmtId="2" fontId="2" fillId="0" borderId="49" xfId="0" applyNumberFormat="1" applyFont="1" applyBorder="1"/>
    <xf numFmtId="2" fontId="2" fillId="0" borderId="0" xfId="0" applyNumberFormat="1" applyFont="1"/>
    <xf numFmtId="22" fontId="6" fillId="0" borderId="21" xfId="0" applyNumberFormat="1" applyFont="1" applyBorder="1" applyAlignment="1">
      <alignment wrapText="1"/>
    </xf>
    <xf numFmtId="172" fontId="1" fillId="0" borderId="11" xfId="3" quotePrefix="1" applyNumberFormat="1" applyFont="1" applyBorder="1" applyAlignment="1">
      <alignment horizontal="center"/>
    </xf>
    <xf numFmtId="3" fontId="1" fillId="0" borderId="0" xfId="3" quotePrefix="1" applyNumberFormat="1" applyFont="1" applyBorder="1" applyAlignment="1">
      <alignment horizontal="center"/>
    </xf>
    <xf numFmtId="3" fontId="1" fillId="0" borderId="0" xfId="0" quotePrefix="1" applyNumberFormat="1" applyFont="1" applyBorder="1" applyAlignment="1">
      <alignment horizontal="center"/>
    </xf>
    <xf numFmtId="182" fontId="1" fillId="0" borderId="0" xfId="0" quotePrefix="1" applyNumberFormat="1" applyFont="1" applyBorder="1" applyAlignment="1">
      <alignment horizontal="right"/>
    </xf>
    <xf numFmtId="170" fontId="2" fillId="0" borderId="0" xfId="0" applyNumberFormat="1" applyFont="1" applyAlignment="1">
      <alignment horizontal="centerContinuous"/>
    </xf>
    <xf numFmtId="165" fontId="1" fillId="0" borderId="0" xfId="0" applyNumberFormat="1" applyFont="1" applyAlignment="1"/>
    <xf numFmtId="180" fontId="2" fillId="0" borderId="0" xfId="2" applyNumberFormat="1" applyFont="1"/>
    <xf numFmtId="166" fontId="1" fillId="0" borderId="0" xfId="0" applyNumberFormat="1" applyFont="1" applyAlignment="1">
      <alignment horizontal="right"/>
    </xf>
    <xf numFmtId="172" fontId="1" fillId="0" borderId="0" xfId="3" applyNumberFormat="1" applyFont="1"/>
    <xf numFmtId="0" fontId="1" fillId="0" borderId="3" xfId="0" applyFont="1" applyBorder="1"/>
    <xf numFmtId="164" fontId="1" fillId="0" borderId="3" xfId="0" applyNumberFormat="1" applyFont="1" applyBorder="1" applyAlignment="1">
      <alignment horizontal="center"/>
    </xf>
    <xf numFmtId="0" fontId="2" fillId="0" borderId="3" xfId="0" applyNumberFormat="1" applyFont="1" applyBorder="1" applyAlignment="1">
      <alignment horizontal="center"/>
    </xf>
    <xf numFmtId="41" fontId="1" fillId="0" borderId="3" xfId="3" applyFont="1" applyBorder="1" applyAlignment="1">
      <alignment horizontal="center"/>
    </xf>
    <xf numFmtId="172" fontId="1" fillId="0" borderId="3" xfId="3" applyNumberFormat="1" applyFont="1" applyBorder="1" applyAlignment="1">
      <alignment horizontal="center"/>
    </xf>
    <xf numFmtId="0" fontId="1" fillId="0" borderId="1" xfId="0" applyFont="1" applyBorder="1"/>
    <xf numFmtId="164" fontId="1" fillId="0" borderId="1" xfId="0" applyNumberFormat="1" applyFont="1" applyBorder="1" applyAlignment="1"/>
    <xf numFmtId="0" fontId="1" fillId="0" borderId="1" xfId="0" applyNumberFormat="1" applyFont="1" applyBorder="1" applyAlignment="1">
      <alignment horizontal="center"/>
    </xf>
    <xf numFmtId="164" fontId="1" fillId="0" borderId="0" xfId="0" applyNumberFormat="1" applyFont="1"/>
    <xf numFmtId="2" fontId="1" fillId="0" borderId="1" xfId="0" applyNumberFormat="1" applyFont="1" applyBorder="1"/>
    <xf numFmtId="0" fontId="1" fillId="0" borderId="38" xfId="0" applyFont="1" applyBorder="1"/>
    <xf numFmtId="164" fontId="1" fillId="0" borderId="38" xfId="0" applyNumberFormat="1" applyFont="1" applyBorder="1" applyAlignment="1"/>
    <xf numFmtId="3" fontId="1" fillId="0" borderId="50" xfId="3" applyNumberFormat="1" applyFont="1" applyBorder="1"/>
    <xf numFmtId="2" fontId="1" fillId="0" borderId="38" xfId="0" applyNumberFormat="1" applyFont="1" applyBorder="1" applyAlignment="1"/>
    <xf numFmtId="2" fontId="1" fillId="0" borderId="38" xfId="0" applyNumberFormat="1" applyFont="1" applyBorder="1"/>
    <xf numFmtId="0" fontId="1" fillId="0" borderId="1" xfId="0" applyFont="1" applyFill="1" applyBorder="1"/>
    <xf numFmtId="3" fontId="1" fillId="0" borderId="1" xfId="0" applyNumberFormat="1" applyFont="1" applyFill="1" applyBorder="1"/>
    <xf numFmtId="0" fontId="1" fillId="0" borderId="0" xfId="0" applyFont="1" applyFill="1"/>
    <xf numFmtId="0" fontId="1" fillId="0" borderId="38" xfId="0" applyFont="1" applyFill="1" applyBorder="1"/>
    <xf numFmtId="3" fontId="1" fillId="0" borderId="38" xfId="0" applyNumberFormat="1" applyFont="1" applyFill="1" applyBorder="1"/>
    <xf numFmtId="2" fontId="1" fillId="0" borderId="0" xfId="0" applyNumberFormat="1" applyFont="1"/>
    <xf numFmtId="3" fontId="1" fillId="3" borderId="1" xfId="0" applyNumberFormat="1" applyFont="1" applyFill="1" applyBorder="1"/>
    <xf numFmtId="0" fontId="1" fillId="3" borderId="1" xfId="0" applyFont="1" applyFill="1" applyBorder="1"/>
    <xf numFmtId="0" fontId="2" fillId="0" borderId="1" xfId="0" applyFont="1" applyFill="1" applyBorder="1"/>
    <xf numFmtId="172" fontId="1" fillId="0" borderId="1" xfId="3" applyNumberFormat="1" applyFont="1" applyFill="1" applyBorder="1"/>
    <xf numFmtId="0" fontId="1" fillId="0" borderId="1" xfId="0" applyNumberFormat="1" applyFont="1" applyBorder="1"/>
    <xf numFmtId="0" fontId="2" fillId="0" borderId="1" xfId="0" applyFont="1" applyBorder="1"/>
    <xf numFmtId="172" fontId="1" fillId="0" borderId="1" xfId="3" applyNumberFormat="1" applyFont="1" applyBorder="1"/>
    <xf numFmtId="0" fontId="1" fillId="0" borderId="0" xfId="0" applyFont="1" applyBorder="1"/>
    <xf numFmtId="164" fontId="1" fillId="0" borderId="2" xfId="0" applyNumberFormat="1" applyFont="1" applyBorder="1" applyAlignment="1">
      <alignment horizontal="center"/>
    </xf>
    <xf numFmtId="3" fontId="1" fillId="0" borderId="2" xfId="3" applyNumberFormat="1" applyFont="1" applyBorder="1" applyAlignment="1">
      <alignment horizontal="center"/>
    </xf>
    <xf numFmtId="2" fontId="1" fillId="0" borderId="2" xfId="0" applyNumberFormat="1" applyFont="1" applyBorder="1" applyAlignment="1">
      <alignment horizontal="center"/>
    </xf>
    <xf numFmtId="41" fontId="1" fillId="0" borderId="2" xfId="3" applyFont="1" applyBorder="1" applyAlignment="1">
      <alignment horizontal="center"/>
    </xf>
    <xf numFmtId="172" fontId="1" fillId="0" borderId="2" xfId="3" applyNumberFormat="1" applyFont="1" applyBorder="1" applyAlignment="1">
      <alignment horizontal="center"/>
    </xf>
    <xf numFmtId="0" fontId="4" fillId="0" borderId="2" xfId="0" applyFont="1" applyBorder="1" applyAlignment="1">
      <alignment horizontal="center"/>
    </xf>
    <xf numFmtId="0" fontId="2" fillId="0" borderId="5" xfId="0" applyNumberFormat="1" applyFont="1" applyBorder="1" applyAlignment="1">
      <alignment horizontal="center"/>
    </xf>
    <xf numFmtId="0" fontId="27" fillId="0" borderId="0" xfId="0" applyFont="1"/>
    <xf numFmtId="0" fontId="27" fillId="0" borderId="4" xfId="0" applyFont="1" applyBorder="1"/>
    <xf numFmtId="4" fontId="1" fillId="0" borderId="1" xfId="0" applyNumberFormat="1" applyFont="1" applyBorder="1"/>
    <xf numFmtId="0" fontId="1" fillId="0" borderId="34" xfId="0" applyFont="1" applyBorder="1"/>
    <xf numFmtId="3" fontId="2" fillId="0" borderId="2" xfId="3" quotePrefix="1" applyNumberFormat="1" applyFont="1" applyBorder="1" applyAlignment="1">
      <alignment horizontal="center"/>
    </xf>
    <xf numFmtId="2" fontId="2" fillId="0" borderId="2" xfId="0" applyNumberFormat="1" applyFont="1" applyBorder="1" applyAlignment="1">
      <alignment horizontal="left"/>
    </xf>
    <xf numFmtId="0" fontId="2" fillId="0" borderId="2" xfId="0" applyNumberFormat="1" applyFont="1" applyBorder="1" applyAlignment="1">
      <alignment horizontal="left"/>
    </xf>
    <xf numFmtId="2" fontId="1" fillId="0" borderId="2" xfId="0" applyNumberFormat="1" applyFont="1" applyBorder="1" applyAlignment="1">
      <alignment horizontal="left"/>
    </xf>
    <xf numFmtId="0" fontId="4" fillId="0" borderId="2" xfId="0" applyFont="1" applyBorder="1" applyAlignment="1">
      <alignment horizontal="left"/>
    </xf>
    <xf numFmtId="187" fontId="1" fillId="0" borderId="1" xfId="0" applyNumberFormat="1" applyFont="1" applyBorder="1"/>
    <xf numFmtId="164" fontId="0" fillId="0" borderId="0" xfId="0" applyNumberFormat="1" applyAlignment="1">
      <alignment horizontal="center"/>
    </xf>
    <xf numFmtId="3" fontId="5" fillId="0" borderId="0" xfId="0" applyNumberFormat="1" applyFont="1" applyAlignment="1">
      <alignment horizontal="center"/>
    </xf>
    <xf numFmtId="179" fontId="5" fillId="0" borderId="5" xfId="0" applyNumberFormat="1" applyFont="1" applyBorder="1" applyAlignment="1">
      <alignment horizontal="center"/>
    </xf>
    <xf numFmtId="165" fontId="3" fillId="0" borderId="5" xfId="0" applyNumberFormat="1" applyFont="1" applyBorder="1" applyAlignment="1">
      <alignment horizontal="center"/>
    </xf>
  </cellXfs>
  <cellStyles count="4">
    <cellStyle name="Euro" xfId="1"/>
    <cellStyle name="Migliaia" xfId="2" builtinId="3"/>
    <cellStyle name="Migliaia [0]" xfId="3" builtinId="6"/>
    <cellStyle name="Normale" xfId="0" builtinId="0"/>
  </cellStyles>
  <dxfs count="75">
    <dxf>
      <font>
        <b val="0"/>
        <i val="0"/>
        <strike val="0"/>
        <condense val="0"/>
        <extend val="0"/>
        <outline val="0"/>
        <shadow val="0"/>
        <u val="none"/>
        <vertAlign val="baseline"/>
        <sz val="8"/>
        <color auto="1"/>
        <name val="Arial"/>
        <scheme val="none"/>
      </font>
      <numFmt numFmtId="0" formatCode="General"/>
    </dxf>
    <dxf>
      <font>
        <b val="0"/>
        <i val="0"/>
        <strike val="0"/>
        <condense val="0"/>
        <extend val="0"/>
        <outline val="0"/>
        <shadow val="0"/>
        <u val="none"/>
        <vertAlign val="baseline"/>
        <sz val="8"/>
        <color auto="1"/>
        <name val="Arial"/>
        <scheme val="none"/>
      </font>
      <numFmt numFmtId="0" formatCode="General"/>
    </dxf>
    <dxf>
      <font>
        <b val="0"/>
        <i val="0"/>
        <strike val="0"/>
        <condense val="0"/>
        <extend val="0"/>
        <outline val="0"/>
        <shadow val="0"/>
        <u val="none"/>
        <vertAlign val="baseline"/>
        <sz val="6"/>
        <color auto="1"/>
        <name val="Arial"/>
        <scheme val="none"/>
      </font>
      <alignment horizontal="general" vertical="bottom"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6"/>
        <color auto="1"/>
        <name val="Arial"/>
        <scheme val="none"/>
      </font>
      <alignment horizontal="general"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0"/>
        <color auto="1"/>
        <name val="Arial"/>
        <scheme val="none"/>
      </font>
      <border diagonalUp="0" diagonalDown="0" outline="0">
        <left/>
        <right style="thin">
          <color indexed="64"/>
        </right>
        <top/>
        <bottom/>
      </border>
    </dxf>
    <dxf>
      <font>
        <b val="0"/>
        <i val="0"/>
        <strike val="0"/>
        <condense val="0"/>
        <extend val="0"/>
        <outline val="0"/>
        <shadow val="0"/>
        <u val="none"/>
        <vertAlign val="baseline"/>
        <sz val="10"/>
        <color auto="1"/>
        <name val="Arial"/>
        <scheme val="none"/>
      </font>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none"/>
      </font>
      <numFmt numFmtId="187" formatCode="#,##0.000"/>
      <border diagonalUp="0" diagonalDown="0" outline="0">
        <left/>
        <right style="thin">
          <color indexed="64"/>
        </right>
        <top/>
        <bottom/>
      </border>
    </dxf>
    <dxf>
      <font>
        <b val="0"/>
        <i val="0"/>
        <strike val="0"/>
        <condense val="0"/>
        <extend val="0"/>
        <outline val="0"/>
        <shadow val="0"/>
        <u val="none"/>
        <vertAlign val="baseline"/>
        <sz val="10"/>
        <color auto="1"/>
        <name val="Arial"/>
        <scheme val="none"/>
      </font>
      <numFmt numFmtId="187" formatCode="#,##0.000"/>
      <border diagonalUp="0" diagonalDown="0" outline="0">
        <left/>
        <right style="thin">
          <color indexed="64"/>
        </right>
        <top/>
        <bottom/>
      </border>
    </dxf>
    <dxf>
      <font>
        <b val="0"/>
        <i val="0"/>
        <strike val="0"/>
        <condense val="0"/>
        <extend val="0"/>
        <outline val="0"/>
        <shadow val="0"/>
        <u val="none"/>
        <vertAlign val="baseline"/>
        <sz val="10"/>
        <color auto="1"/>
        <name val="Arial"/>
        <scheme val="none"/>
      </font>
      <numFmt numFmtId="4" formatCode="#,##0.00"/>
      <border diagonalUp="0" diagonalDown="0" outline="0">
        <left/>
        <right style="thin">
          <color indexed="64"/>
        </right>
        <top/>
        <bottom/>
      </border>
    </dxf>
    <dxf>
      <font>
        <b val="0"/>
        <i val="0"/>
        <strike val="0"/>
        <condense val="0"/>
        <extend val="0"/>
        <outline val="0"/>
        <shadow val="0"/>
        <u val="none"/>
        <vertAlign val="baseline"/>
        <sz val="10"/>
        <color auto="1"/>
        <name val="Arial"/>
        <scheme val="none"/>
      </font>
      <border diagonalUp="0" diagonalDown="0" outline="0">
        <left/>
        <right style="thin">
          <color indexed="64"/>
        </right>
        <top/>
        <bottom/>
      </border>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numFmt numFmtId="2" formatCode="0.00"/>
      <border diagonalUp="0" diagonalDown="0" outline="0">
        <left/>
        <right style="thin">
          <color indexed="64"/>
        </right>
        <top/>
        <bottom/>
      </border>
    </dxf>
    <dxf>
      <font>
        <b val="0"/>
        <i val="0"/>
        <strike val="0"/>
        <condense val="0"/>
        <extend val="0"/>
        <outline val="0"/>
        <shadow val="0"/>
        <u val="none"/>
        <vertAlign val="baseline"/>
        <sz val="10"/>
        <color auto="1"/>
        <name val="Arial"/>
        <scheme val="none"/>
      </font>
      <numFmt numFmtId="2" formatCode="0.00"/>
      <border diagonalUp="0" diagonalDown="0">
        <left/>
        <right style="thin">
          <color indexed="64"/>
        </right>
        <top/>
        <bottom/>
        <vertical/>
        <horizontal/>
      </border>
    </dxf>
    <dxf>
      <font>
        <b val="0"/>
        <i val="0"/>
        <strike val="0"/>
        <condense val="0"/>
        <extend val="0"/>
        <outline val="0"/>
        <shadow val="0"/>
        <u val="none"/>
        <vertAlign val="baseline"/>
        <sz val="10"/>
        <color auto="1"/>
        <name val="Arial"/>
        <scheme val="none"/>
      </font>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none"/>
      </font>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none"/>
      </font>
      <numFmt numFmtId="4" formatCode="#,##0.00"/>
      <border diagonalUp="0" diagonalDown="0" outline="0">
        <left/>
        <right style="thin">
          <color indexed="64"/>
        </right>
        <top/>
        <bottom/>
      </border>
    </dxf>
    <dxf>
      <font>
        <b val="0"/>
        <i val="0"/>
        <strike val="0"/>
        <condense val="0"/>
        <extend val="0"/>
        <outline val="0"/>
        <shadow val="0"/>
        <u val="none"/>
        <vertAlign val="baseline"/>
        <sz val="10"/>
        <color auto="1"/>
        <name val="Arial"/>
        <scheme val="none"/>
      </font>
      <numFmt numFmtId="4" formatCode="#,##0.00"/>
      <border diagonalUp="0" diagonalDown="0" outline="0">
        <left/>
        <right style="thin">
          <color indexed="64"/>
        </right>
        <top/>
        <bottom/>
      </border>
    </dxf>
    <dxf>
      <font>
        <b val="0"/>
        <i val="0"/>
        <strike val="0"/>
        <condense val="0"/>
        <extend val="0"/>
        <outline val="0"/>
        <shadow val="0"/>
        <u val="none"/>
        <vertAlign val="baseline"/>
        <sz val="10"/>
        <color auto="1"/>
        <name val="Arial"/>
        <scheme val="none"/>
      </font>
      <numFmt numFmtId="3" formatCode="#,##0"/>
      <border diagonalUp="0" diagonalDown="0" outline="0">
        <left/>
        <right style="thin">
          <color indexed="64"/>
        </right>
        <top/>
        <bottom/>
      </border>
    </dxf>
    <dxf>
      <font>
        <b val="0"/>
        <i val="0"/>
        <strike val="0"/>
        <condense val="0"/>
        <extend val="0"/>
        <outline val="0"/>
        <shadow val="0"/>
        <u val="none"/>
        <vertAlign val="baseline"/>
        <sz val="10"/>
        <color auto="1"/>
        <name val="Arial"/>
        <scheme val="none"/>
      </font>
      <numFmt numFmtId="0" formatCode="General"/>
    </dxf>
    <dxf>
      <font>
        <b val="0"/>
        <i val="0"/>
        <strike val="0"/>
        <condense val="0"/>
        <extend val="0"/>
        <outline val="0"/>
        <shadow val="0"/>
        <u val="none"/>
        <vertAlign val="baseline"/>
        <sz val="10"/>
        <color auto="1"/>
        <name val="Arial"/>
        <scheme val="none"/>
      </font>
      <numFmt numFmtId="3" formatCode="#,##0"/>
      <border diagonalUp="0" diagonalDown="0">
        <left/>
        <right style="thin">
          <color indexed="64"/>
        </right>
        <top/>
        <bottom/>
      </border>
    </dxf>
    <dxf>
      <font>
        <b val="0"/>
        <i val="0"/>
        <strike val="0"/>
        <condense val="0"/>
        <extend val="0"/>
        <outline val="0"/>
        <shadow val="0"/>
        <u val="none"/>
        <vertAlign val="baseline"/>
        <sz val="10"/>
        <color auto="1"/>
        <name val="Arial"/>
        <scheme val="none"/>
      </font>
      <numFmt numFmtId="3" formatCode="#,##0"/>
      <border diagonalUp="0" diagonalDown="0">
        <left/>
        <right style="thin">
          <color indexed="64"/>
        </right>
        <top/>
        <bottom/>
        <vertical/>
        <horizontal/>
      </border>
    </dxf>
    <dxf>
      <font>
        <b val="0"/>
        <i val="0"/>
        <strike val="0"/>
        <condense val="0"/>
        <extend val="0"/>
        <outline val="0"/>
        <shadow val="0"/>
        <u val="none"/>
        <vertAlign val="baseline"/>
        <sz val="10"/>
        <color auto="1"/>
        <name val="Arial"/>
        <scheme val="none"/>
      </font>
      <numFmt numFmtId="3" formatCode="#,##0"/>
      <border diagonalUp="0" diagonalDown="0">
        <left/>
        <right style="thin">
          <color indexed="64"/>
        </right>
        <top/>
        <bottom/>
      </border>
    </dxf>
    <dxf>
      <font>
        <b val="0"/>
        <i val="0"/>
        <strike val="0"/>
        <condense val="0"/>
        <extend val="0"/>
        <outline val="0"/>
        <shadow val="0"/>
        <u val="none"/>
        <vertAlign val="baseline"/>
        <sz val="10"/>
        <color auto="1"/>
        <name val="Arial"/>
        <scheme val="none"/>
      </font>
      <numFmt numFmtId="3" formatCode="#,##0"/>
      <border diagonalUp="0" diagonalDown="0">
        <left/>
        <right style="thin">
          <color indexed="64"/>
        </right>
        <top/>
        <bottom/>
        <vertical/>
        <horizontal/>
      </border>
    </dxf>
    <dxf>
      <font>
        <b val="0"/>
        <i val="0"/>
        <strike val="0"/>
        <condense val="0"/>
        <extend val="0"/>
        <outline val="0"/>
        <shadow val="0"/>
        <u val="none"/>
        <vertAlign val="baseline"/>
        <sz val="10"/>
        <color auto="1"/>
        <name val="Arial"/>
        <scheme val="none"/>
      </font>
      <border diagonalUp="0" diagonalDown="0">
        <left/>
        <right style="thin">
          <color indexed="64"/>
        </right>
        <top/>
        <bottom/>
      </border>
    </dxf>
    <dxf>
      <font>
        <b val="0"/>
        <i val="0"/>
        <strike val="0"/>
        <condense val="0"/>
        <extend val="0"/>
        <outline val="0"/>
        <shadow val="0"/>
        <u val="none"/>
        <vertAlign val="baseline"/>
        <sz val="10"/>
        <color auto="1"/>
        <name val="Arial"/>
        <scheme val="none"/>
      </font>
      <border diagonalUp="0" diagonalDown="0">
        <left/>
        <right style="thin">
          <color indexed="64"/>
        </right>
        <top/>
        <bottom/>
        <vertical/>
        <horizontal/>
      </border>
    </dxf>
    <dxf>
      <border outline="0">
        <left style="thin">
          <color indexed="64"/>
        </left>
        <top style="thin">
          <color indexed="64"/>
        </top>
      </border>
    </dxf>
    <dxf>
      <border outline="0">
        <bottom style="thin">
          <color indexed="64"/>
        </bottom>
      </border>
    </dxf>
    <dxf>
      <font>
        <b val="0"/>
        <i val="0"/>
        <strike val="0"/>
        <condense val="0"/>
        <extend val="0"/>
        <outline val="0"/>
        <shadow val="0"/>
        <u val="none"/>
        <vertAlign val="baseline"/>
        <sz val="4"/>
        <color auto="1"/>
        <name val="Arial"/>
        <scheme val="none"/>
      </font>
      <alignment horizontal="center" vertical="bottom" textRotation="0" wrapText="0" indent="0" justifyLastLine="0" shrinkToFit="0" readingOrder="0"/>
    </dxf>
    <dxf>
      <font>
        <color rgb="FF9C0006"/>
      </font>
      <fill>
        <patternFill>
          <bgColor rgb="FFFFC7CE"/>
        </patternFill>
      </fill>
    </dxf>
    <dxf>
      <font>
        <b/>
        <i val="0"/>
        <color rgb="FF9C0006"/>
      </font>
      <fill>
        <patternFill>
          <bgColor rgb="FFFFC7CE"/>
        </patternFill>
      </fill>
    </dxf>
    <dxf>
      <font>
        <b/>
        <i val="0"/>
        <color rgb="FF006100"/>
      </font>
      <fill>
        <patternFill>
          <bgColor rgb="FFC6EFCE"/>
        </patternFill>
      </fill>
    </dxf>
    <dxf>
      <font>
        <color rgb="FF9C0006"/>
      </font>
      <fill>
        <patternFill>
          <bgColor rgb="FFFFC7CE"/>
        </patternFill>
      </fill>
    </dxf>
    <dxf>
      <font>
        <color rgb="FF006100"/>
      </font>
      <fill>
        <patternFill>
          <bgColor rgb="FFC6EFCE"/>
        </patternFill>
      </fill>
    </dxf>
    <dxf>
      <font>
        <b/>
        <i val="0"/>
        <color rgb="FF9C0006"/>
      </font>
      <fill>
        <patternFill>
          <bgColor rgb="FFFFC7CE"/>
        </patternFill>
      </fill>
    </dxf>
    <dxf>
      <font>
        <b/>
        <i val="0"/>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i val="0"/>
        <color rgb="FF9C0006"/>
      </font>
      <fill>
        <patternFill>
          <bgColor rgb="FFFFC7CE"/>
        </patternFill>
      </fill>
    </dxf>
    <dxf>
      <font>
        <b/>
        <i val="0"/>
        <color rgb="FF006100"/>
      </font>
      <fill>
        <patternFill>
          <bgColor rgb="FFC6EFCE"/>
        </patternFill>
      </fill>
    </dxf>
    <dxf>
      <font>
        <color rgb="FF9C0006"/>
      </font>
      <fill>
        <patternFill>
          <bgColor rgb="FFFFC7CE"/>
        </patternFill>
      </fill>
    </dxf>
    <dxf>
      <font>
        <b/>
        <i val="0"/>
        <color rgb="FF9C0006"/>
      </font>
      <fill>
        <patternFill>
          <bgColor rgb="FFFFC7CE"/>
        </patternFill>
      </fill>
    </dxf>
    <dxf>
      <font>
        <b/>
        <i val="0"/>
        <color rgb="FF006100"/>
      </font>
      <fill>
        <patternFill>
          <bgColor rgb="FFC6EFCE"/>
        </patternFill>
      </fill>
    </dxf>
    <dxf>
      <font>
        <b/>
        <i val="0"/>
        <color rgb="FF9C0006"/>
      </font>
      <fill>
        <patternFill>
          <bgColor rgb="FFFFC7CE"/>
        </patternFill>
      </fill>
    </dxf>
    <dxf>
      <font>
        <b/>
        <i val="0"/>
        <color rgb="FF006100"/>
      </font>
      <fill>
        <patternFill>
          <bgColor rgb="FFC6EFCE"/>
        </patternFill>
      </fill>
    </dxf>
    <dxf>
      <font>
        <color rgb="FF9C0006"/>
      </font>
      <fill>
        <patternFill>
          <bgColor rgb="FFFFC7CE"/>
        </patternFill>
      </fill>
    </dxf>
    <dxf>
      <font>
        <color rgb="FF006100"/>
      </font>
      <fill>
        <patternFill>
          <bgColor rgb="FFC6EFCE"/>
        </patternFill>
      </fill>
    </dxf>
    <dxf>
      <font>
        <b/>
        <i val="0"/>
        <color rgb="FF9C0006"/>
      </font>
      <fill>
        <patternFill>
          <bgColor rgb="FFFFC7CE"/>
        </patternFill>
      </fill>
    </dxf>
    <dxf>
      <font>
        <b/>
        <i val="0"/>
        <color rgb="FF006100"/>
      </font>
      <fill>
        <patternFill>
          <bgColor rgb="FFC6EFCE"/>
        </patternFill>
      </fill>
    </dxf>
    <dxf>
      <font>
        <color rgb="FF9C0006"/>
      </font>
      <fill>
        <patternFill>
          <bgColor rgb="FFFFC7CE"/>
        </patternFill>
      </fill>
    </dxf>
    <dxf>
      <font>
        <b/>
        <i val="0"/>
        <color rgb="FF9C0006"/>
      </font>
      <fill>
        <patternFill>
          <bgColor rgb="FFFFC7CE"/>
        </patternFill>
      </fill>
    </dxf>
    <dxf>
      <font>
        <b/>
        <i val="0"/>
        <color rgb="FF9C0006"/>
      </font>
      <fill>
        <patternFill>
          <bgColor rgb="FFFFC7CE"/>
        </patternFill>
      </fill>
    </dxf>
    <dxf>
      <font>
        <b/>
        <i val="0"/>
        <color rgb="FF006100"/>
      </font>
      <fill>
        <patternFill>
          <bgColor rgb="FFC6EFCE"/>
        </patternFill>
      </fill>
    </dxf>
    <dxf>
      <font>
        <color rgb="FF9C0006"/>
      </font>
      <fill>
        <patternFill>
          <bgColor rgb="FFFFC7CE"/>
        </patternFill>
      </fill>
    </dxf>
    <dxf>
      <font>
        <b/>
        <i val="0"/>
        <color rgb="FF9C0006"/>
      </font>
      <fill>
        <patternFill>
          <bgColor rgb="FFFFC7CE"/>
        </patternFill>
      </fill>
    </dxf>
    <dxf>
      <font>
        <b/>
        <i val="0"/>
        <color rgb="FF006100"/>
      </font>
      <fill>
        <patternFill>
          <bgColor rgb="FFC6EFCE"/>
        </patternFill>
      </fill>
    </dxf>
    <dxf>
      <font>
        <b/>
        <i val="0"/>
        <color rgb="FF9C0006"/>
      </font>
      <fill>
        <patternFill>
          <bgColor rgb="FFFFC7CE"/>
        </patternFill>
      </fill>
    </dxf>
    <dxf>
      <font>
        <color rgb="FF9C0006"/>
      </font>
      <fill>
        <patternFill>
          <bgColor rgb="FFFFC7CE"/>
        </patternFill>
      </fill>
    </dxf>
    <dxf>
      <font>
        <b/>
        <i val="0"/>
        <color rgb="FF006100"/>
      </font>
      <fill>
        <patternFill>
          <bgColor rgb="FFC6EFCE"/>
        </patternFill>
      </fill>
    </dxf>
    <dxf>
      <font>
        <color rgb="FF006100"/>
      </font>
      <fill>
        <patternFill>
          <bgColor rgb="FFC6EFCE"/>
        </patternFill>
      </fill>
    </dxf>
    <dxf>
      <font>
        <b/>
        <i val="0"/>
        <color rgb="FF9C0006"/>
      </font>
      <fill>
        <patternFill>
          <bgColor rgb="FFFFC7CE"/>
        </patternFill>
      </fill>
    </dxf>
    <dxf>
      <font>
        <b/>
        <i val="0"/>
        <color rgb="FF006100"/>
      </font>
      <fill>
        <patternFill>
          <bgColor rgb="FFC6EFCE"/>
        </patternFill>
      </fill>
    </dxf>
    <dxf>
      <font>
        <color rgb="FF006100"/>
      </font>
      <fill>
        <patternFill>
          <bgColor rgb="FFC6EFCE"/>
        </patternFill>
      </fill>
    </dxf>
    <dxf>
      <font>
        <b/>
        <i val="0"/>
        <color rgb="FF006100"/>
      </font>
      <fill>
        <patternFill>
          <bgColor rgb="FFC6EFCE"/>
        </patternFill>
      </fill>
    </dxf>
    <dxf>
      <font>
        <color rgb="FF9C0006"/>
      </font>
      <fill>
        <patternFill>
          <bgColor rgb="FFFFC7CE"/>
        </patternFill>
      </fill>
    </dxf>
    <dxf>
      <font>
        <b/>
        <i val="0"/>
        <color rgb="FF9C0006"/>
      </font>
      <fill>
        <patternFill>
          <bgColor rgb="FFFFC7CE"/>
        </patternFill>
      </fill>
    </dxf>
    <dxf>
      <font>
        <b/>
        <i val="0"/>
        <color rgb="FF9C0006"/>
      </font>
      <fill>
        <patternFill>
          <bgColor rgb="FFFFC7CE"/>
        </patternFill>
      </fill>
    </dxf>
    <dxf>
      <font>
        <b/>
        <i val="0"/>
        <color rgb="FF006100"/>
      </font>
      <fill>
        <patternFill>
          <bgColor rgb="FFC6EFCE"/>
        </patternFill>
      </fill>
    </dxf>
    <dxf>
      <font>
        <color rgb="FF9C0006"/>
      </font>
      <fill>
        <patternFill>
          <bgColor rgb="FFFFC7CE"/>
        </patternFill>
      </fill>
    </dxf>
    <dxf>
      <font>
        <b/>
        <i val="0"/>
        <color rgb="FF9C0006"/>
      </font>
      <fill>
        <patternFill>
          <bgColor rgb="FFFFC7CE"/>
        </patternFill>
      </fill>
    </dxf>
    <dxf>
      <font>
        <b/>
        <i val="0"/>
        <color rgb="FF006100"/>
      </font>
      <fill>
        <patternFill>
          <bgColor rgb="FFC6EFCE"/>
        </patternFill>
      </fill>
    </dxf>
    <dxf>
      <font>
        <b/>
        <i val="0"/>
        <color rgb="FF9C0006"/>
      </font>
      <fill>
        <patternFill>
          <bgColor rgb="FFFFC7CE"/>
        </patternFill>
      </fill>
    </dxf>
    <dxf>
      <font>
        <color rgb="FF9C0006"/>
      </font>
      <fill>
        <patternFill>
          <bgColor rgb="FFFFC7CE"/>
        </patternFill>
      </fill>
    </dxf>
    <dxf>
      <font>
        <b/>
        <i val="0"/>
        <color rgb="FF006100"/>
      </font>
      <fill>
        <patternFill>
          <bgColor rgb="FFC6EFCE"/>
        </patternFill>
      </fill>
    </dxf>
    <dxf>
      <font>
        <color rgb="FF006100"/>
      </font>
      <fill>
        <patternFill>
          <bgColor rgb="FFC6EF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12700" cap="rnd">
              <a:solidFill>
                <a:srgbClr val="FF0000"/>
              </a:solidFill>
              <a:round/>
            </a:ln>
            <a:effectLst/>
          </c:spPr>
          <c:marker>
            <c:symbol val="none"/>
          </c:marker>
          <c:cat>
            <c:numRef>
              <c:f>Consumi!$D$3:$D$117</c:f>
              <c:numCache>
                <c:formatCode>#,##0</c:formatCode>
                <c:ptCount val="115"/>
                <c:pt idx="0">
                  <c:v>360.57</c:v>
                </c:pt>
                <c:pt idx="1">
                  <c:v>606</c:v>
                </c:pt>
                <c:pt idx="2">
                  <c:v>869.61</c:v>
                </c:pt>
                <c:pt idx="3">
                  <c:v>909</c:v>
                </c:pt>
                <c:pt idx="4">
                  <c:v>924.15</c:v>
                </c:pt>
                <c:pt idx="5">
                  <c:v>962.53</c:v>
                </c:pt>
                <c:pt idx="6">
                  <c:v>1352.39</c:v>
                </c:pt>
                <c:pt idx="7">
                  <c:v>1665.49</c:v>
                </c:pt>
                <c:pt idx="8">
                  <c:v>1926.07</c:v>
                </c:pt>
                <c:pt idx="9">
                  <c:v>2196.75</c:v>
                </c:pt>
                <c:pt idx="10">
                  <c:v>2437.13</c:v>
                </c:pt>
                <c:pt idx="11">
                  <c:v>2585.6</c:v>
                </c:pt>
                <c:pt idx="12">
                  <c:v>2706.8</c:v>
                </c:pt>
                <c:pt idx="13">
                  <c:v>3063.33</c:v>
                </c:pt>
                <c:pt idx="14">
                  <c:v>3439.05</c:v>
                </c:pt>
                <c:pt idx="15">
                  <c:v>3804.67</c:v>
                </c:pt>
                <c:pt idx="16">
                  <c:v>4165.24</c:v>
                </c:pt>
                <c:pt idx="17">
                  <c:v>4508.6400000000003</c:v>
                </c:pt>
                <c:pt idx="18">
                  <c:v>4669.2300000000005</c:v>
                </c:pt>
                <c:pt idx="19">
                  <c:v>4926.78</c:v>
                </c:pt>
                <c:pt idx="20">
                  <c:v>5230.79</c:v>
                </c:pt>
                <c:pt idx="21">
                  <c:v>5428.75</c:v>
                </c:pt>
                <c:pt idx="22">
                  <c:v>5716.6</c:v>
                </c:pt>
                <c:pt idx="23">
                  <c:v>6038.79</c:v>
                </c:pt>
                <c:pt idx="24">
                  <c:v>6309.47</c:v>
                </c:pt>
                <c:pt idx="25">
                  <c:v>6404.41</c:v>
                </c:pt>
                <c:pt idx="26">
                  <c:v>6659.9400000000005</c:v>
                </c:pt>
                <c:pt idx="27">
                  <c:v>6927.59</c:v>
                </c:pt>
                <c:pt idx="28">
                  <c:v>7144.74</c:v>
                </c:pt>
                <c:pt idx="29">
                  <c:v>7363.91</c:v>
                </c:pt>
                <c:pt idx="30">
                  <c:v>7546.72</c:v>
                </c:pt>
                <c:pt idx="31">
                  <c:v>7701.25</c:v>
                </c:pt>
                <c:pt idx="32">
                  <c:v>7862.85</c:v>
                </c:pt>
                <c:pt idx="33">
                  <c:v>8042.63</c:v>
                </c:pt>
                <c:pt idx="34">
                  <c:v>8259.7800000000007</c:v>
                </c:pt>
                <c:pt idx="35">
                  <c:v>8497.1299999999992</c:v>
                </c:pt>
                <c:pt idx="36">
                  <c:v>8670.85</c:v>
                </c:pt>
                <c:pt idx="37">
                  <c:v>9032.43</c:v>
                </c:pt>
                <c:pt idx="38">
                  <c:v>9386.94</c:v>
                </c:pt>
                <c:pt idx="39">
                  <c:v>9664.69</c:v>
                </c:pt>
                <c:pt idx="40">
                  <c:v>9980.82</c:v>
                </c:pt>
                <c:pt idx="41">
                  <c:v>10289.879999999999</c:v>
                </c:pt>
                <c:pt idx="42">
                  <c:v>10527.23</c:v>
                </c:pt>
                <c:pt idx="43">
                  <c:v>10848.41</c:v>
                </c:pt>
                <c:pt idx="44">
                  <c:v>11037.28</c:v>
                </c:pt>
                <c:pt idx="45">
                  <c:v>11383.710000000001</c:v>
                </c:pt>
                <c:pt idx="46">
                  <c:v>11664.49</c:v>
                </c:pt>
                <c:pt idx="47">
                  <c:v>11759.43</c:v>
                </c:pt>
                <c:pt idx="48">
                  <c:v>11858.41</c:v>
                </c:pt>
                <c:pt idx="49">
                  <c:v>12118.99</c:v>
                </c:pt>
                <c:pt idx="50">
                  <c:v>12337.15</c:v>
                </c:pt>
                <c:pt idx="51">
                  <c:v>12615.91</c:v>
                </c:pt>
                <c:pt idx="52">
                  <c:v>12936.08</c:v>
                </c:pt>
                <c:pt idx="53">
                  <c:v>13097.68</c:v>
                </c:pt>
                <c:pt idx="54">
                  <c:v>13458.25</c:v>
                </c:pt>
                <c:pt idx="55">
                  <c:v>13621.87</c:v>
                </c:pt>
                <c:pt idx="56">
                  <c:v>13774.380000000001</c:v>
                </c:pt>
                <c:pt idx="57">
                  <c:v>13904.67</c:v>
                </c:pt>
                <c:pt idx="58">
                  <c:v>14104.65</c:v>
                </c:pt>
                <c:pt idx="59">
                  <c:v>14409.67</c:v>
                </c:pt>
                <c:pt idx="60">
                  <c:v>14538.95</c:v>
                </c:pt>
                <c:pt idx="61">
                  <c:v>14794.48</c:v>
                </c:pt>
                <c:pt idx="62">
                  <c:v>14890.43</c:v>
                </c:pt>
                <c:pt idx="63">
                  <c:v>15122.73</c:v>
                </c:pt>
                <c:pt idx="64">
                  <c:v>15329.78</c:v>
                </c:pt>
                <c:pt idx="65">
                  <c:v>15496.43</c:v>
                </c:pt>
                <c:pt idx="66">
                  <c:v>15751.960000000001</c:v>
                </c:pt>
                <c:pt idx="67">
                  <c:v>16015.57</c:v>
                </c:pt>
                <c:pt idx="68">
                  <c:v>16257.97</c:v>
                </c:pt>
                <c:pt idx="69">
                  <c:v>16514.509999999998</c:v>
                </c:pt>
                <c:pt idx="70">
                  <c:v>16750.849999999999</c:v>
                </c:pt>
                <c:pt idx="71">
                  <c:v>16961.939999999999</c:v>
                </c:pt>
                <c:pt idx="72">
                  <c:v>17277.060000000001</c:v>
                </c:pt>
                <c:pt idx="73">
                  <c:v>17578.04</c:v>
                </c:pt>
                <c:pt idx="74">
                  <c:v>17806.3</c:v>
                </c:pt>
                <c:pt idx="75">
                  <c:v>18022.439999999999</c:v>
                </c:pt>
                <c:pt idx="76">
                  <c:v>18274.939999999999</c:v>
                </c:pt>
                <c:pt idx="77">
                  <c:v>18447.650000000001</c:v>
                </c:pt>
                <c:pt idx="78">
                  <c:v>18638.54</c:v>
                </c:pt>
                <c:pt idx="79">
                  <c:v>19023.349999999999</c:v>
                </c:pt>
                <c:pt idx="80">
                  <c:v>19324.330000000002</c:v>
                </c:pt>
                <c:pt idx="81">
                  <c:v>19538.45</c:v>
                </c:pt>
                <c:pt idx="82">
                  <c:v>19760.650000000001</c:v>
                </c:pt>
                <c:pt idx="83">
                  <c:v>20015.170000000002</c:v>
                </c:pt>
                <c:pt idx="84">
                  <c:v>20298.98</c:v>
                </c:pt>
                <c:pt idx="85">
                  <c:v>20556.53</c:v>
                </c:pt>
                <c:pt idx="86">
                  <c:v>20944.37</c:v>
                </c:pt>
                <c:pt idx="87">
                  <c:v>21159.5</c:v>
                </c:pt>
                <c:pt idx="88">
                  <c:v>21436.240000000002</c:v>
                </c:pt>
                <c:pt idx="89">
                  <c:v>21588.75</c:v>
                </c:pt>
                <c:pt idx="90">
                  <c:v>21812.97</c:v>
                </c:pt>
                <c:pt idx="91">
                  <c:v>22067.49</c:v>
                </c:pt>
                <c:pt idx="92">
                  <c:v>22211.920000000002</c:v>
                </c:pt>
                <c:pt idx="93">
                  <c:v>22475.53</c:v>
                </c:pt>
                <c:pt idx="94">
                  <c:v>22769.439999999999</c:v>
                </c:pt>
                <c:pt idx="95">
                  <c:v>23084.560000000001</c:v>
                </c:pt>
                <c:pt idx="96">
                  <c:v>23339.08</c:v>
                </c:pt>
                <c:pt idx="97">
                  <c:v>23625.920000000002</c:v>
                </c:pt>
                <c:pt idx="98">
                  <c:v>23929.93</c:v>
                </c:pt>
                <c:pt idx="99">
                  <c:v>24084.46</c:v>
                </c:pt>
                <c:pt idx="100">
                  <c:v>24380.39</c:v>
                </c:pt>
                <c:pt idx="101">
                  <c:v>24720.760000000002</c:v>
                </c:pt>
                <c:pt idx="102">
                  <c:v>24897.510000000002</c:v>
                </c:pt>
                <c:pt idx="103">
                  <c:v>25219.7</c:v>
                </c:pt>
                <c:pt idx="104">
                  <c:v>25562.09</c:v>
                </c:pt>
                <c:pt idx="105">
                  <c:v>25719.65</c:v>
                </c:pt>
                <c:pt idx="106">
                  <c:v>25898.420000000002</c:v>
                </c:pt>
                <c:pt idx="107">
                  <c:v>26029.72</c:v>
                </c:pt>
                <c:pt idx="108">
                  <c:v>26223.64</c:v>
                </c:pt>
                <c:pt idx="109">
                  <c:v>26348.880000000001</c:v>
                </c:pt>
                <c:pt idx="110">
                  <c:v>26749.85</c:v>
                </c:pt>
                <c:pt idx="111">
                  <c:v>27074.06</c:v>
                </c:pt>
                <c:pt idx="112">
                  <c:v>27135.670000000002</c:v>
                </c:pt>
                <c:pt idx="113">
                  <c:v>27549.77</c:v>
                </c:pt>
              </c:numCache>
            </c:numRef>
          </c:cat>
          <c:val>
            <c:numRef>
              <c:f>Consumi!$H$3:$H$117</c:f>
              <c:numCache>
                <c:formatCode>0.00</c:formatCode>
                <c:ptCount val="115"/>
                <c:pt idx="0">
                  <c:v>18.79659364966108</c:v>
                </c:pt>
                <c:pt idx="1">
                  <c:v>14.202548223350254</c:v>
                </c:pt>
                <c:pt idx="2">
                  <c:v>15.239158889317395</c:v>
                </c:pt>
                <c:pt idx="3">
                  <c:v>20.075769999999991</c:v>
                </c:pt>
                <c:pt idx="4">
                  <c:v>14.583036809815932</c:v>
                </c:pt>
                <c:pt idx="5">
                  <c:v>11.529080550098231</c:v>
                </c:pt>
                <c:pt idx="6">
                  <c:v>18.869601182477833</c:v>
                </c:pt>
                <c:pt idx="7">
                  <c:v>20.308823020337513</c:v>
                </c:pt>
                <c:pt idx="8">
                  <c:v>14.397693328418722</c:v>
                </c:pt>
                <c:pt idx="9">
                  <c:v>17.327226358579377</c:v>
                </c:pt>
                <c:pt idx="10">
                  <c:v>14.384492430278891</c:v>
                </c:pt>
                <c:pt idx="11">
                  <c:v>17.285082106893856</c:v>
                </c:pt>
                <c:pt idx="12">
                  <c:v>18.651885245901681</c:v>
                </c:pt>
                <c:pt idx="13">
                  <c:v>19.158548087236309</c:v>
                </c:pt>
                <c:pt idx="14">
                  <c:v>19.013346496815299</c:v>
                </c:pt>
                <c:pt idx="15">
                  <c:v>19.211412425412423</c:v>
                </c:pt>
                <c:pt idx="16">
                  <c:v>18.591126187245575</c:v>
                </c:pt>
                <c:pt idx="17">
                  <c:v>17.736522842639619</c:v>
                </c:pt>
                <c:pt idx="18">
                  <c:v>16.059000000000015</c:v>
                </c:pt>
                <c:pt idx="19">
                  <c:v>17.56972874839807</c:v>
                </c:pt>
                <c:pt idx="20">
                  <c:v>18.869174135220138</c:v>
                </c:pt>
                <c:pt idx="21">
                  <c:v>18.063574136008921</c:v>
                </c:pt>
                <c:pt idx="22">
                  <c:v>15.261170584498114</c:v>
                </c:pt>
                <c:pt idx="23">
                  <c:v>17.264649593783094</c:v>
                </c:pt>
                <c:pt idx="24">
                  <c:v>16.463937616041605</c:v>
                </c:pt>
                <c:pt idx="25">
                  <c:v>14.489922723091016</c:v>
                </c:pt>
                <c:pt idx="26">
                  <c:v>15.820754032258103</c:v>
                </c:pt>
                <c:pt idx="27">
                  <c:v>15.217122477383416</c:v>
                </c:pt>
                <c:pt idx="28">
                  <c:v>15.466496659242736</c:v>
                </c:pt>
                <c:pt idx="29">
                  <c:v>15.106384522854857</c:v>
                </c:pt>
                <c:pt idx="30">
                  <c:v>14.292880037054223</c:v>
                </c:pt>
                <c:pt idx="31">
                  <c:v>14.658523728813535</c:v>
                </c:pt>
                <c:pt idx="32">
                  <c:v>14.442342733188751</c:v>
                </c:pt>
                <c:pt idx="33">
                  <c:v>13.609738742755219</c:v>
                </c:pt>
                <c:pt idx="34">
                  <c:v>16.740448207171358</c:v>
                </c:pt>
                <c:pt idx="35">
                  <c:v>17.804068883610341</c:v>
                </c:pt>
                <c:pt idx="36">
                  <c:v>20.276174045801664</c:v>
                </c:pt>
                <c:pt idx="37">
                  <c:v>19.810526281844563</c:v>
                </c:pt>
                <c:pt idx="38">
                  <c:v>18.880034482758631</c:v>
                </c:pt>
                <c:pt idx="39">
                  <c:v>17.296349644830308</c:v>
                </c:pt>
                <c:pt idx="40">
                  <c:v>17.035596264855645</c:v>
                </c:pt>
                <c:pt idx="41">
                  <c:v>16.964919949174053</c:v>
                </c:pt>
                <c:pt idx="42">
                  <c:v>15.275782753515939</c:v>
                </c:pt>
                <c:pt idx="43">
                  <c:v>15.821399477806803</c:v>
                </c:pt>
                <c:pt idx="44">
                  <c:v>15.662390243902506</c:v>
                </c:pt>
                <c:pt idx="45">
                  <c:v>17.349090793246269</c:v>
                </c:pt>
                <c:pt idx="46">
                  <c:v>18.415003476245577</c:v>
                </c:pt>
                <c:pt idx="47">
                  <c:v>15.046927238806051</c:v>
                </c:pt>
                <c:pt idx="48">
                  <c:v>15.10941209302319</c:v>
                </c:pt>
                <c:pt idx="49">
                  <c:v>15.974475977653626</c:v>
                </c:pt>
                <c:pt idx="50">
                  <c:v>17.125359116022089</c:v>
                </c:pt>
                <c:pt idx="51">
                  <c:v>16.058059423503337</c:v>
                </c:pt>
                <c:pt idx="52">
                  <c:v>19.442275887573967</c:v>
                </c:pt>
                <c:pt idx="53">
                  <c:v>19.00696028880871</c:v>
                </c:pt>
                <c:pt idx="54">
                  <c:v>17.420562209302311</c:v>
                </c:pt>
                <c:pt idx="55">
                  <c:v>14.999242242787226</c:v>
                </c:pt>
                <c:pt idx="56">
                  <c:v>14.213061470911107</c:v>
                </c:pt>
                <c:pt idx="57">
                  <c:v>15.040307377049071</c:v>
                </c:pt>
                <c:pt idx="58">
                  <c:v>15.97395486600843</c:v>
                </c:pt>
                <c:pt idx="59">
                  <c:v>18.531042386185273</c:v>
                </c:pt>
                <c:pt idx="60">
                  <c:v>19.865575642245581</c:v>
                </c:pt>
                <c:pt idx="61">
                  <c:v>17.163367879746755</c:v>
                </c:pt>
                <c:pt idx="62">
                  <c:v>13.15730831315587</c:v>
                </c:pt>
                <c:pt idx="63">
                  <c:v>14.656399548532688</c:v>
                </c:pt>
                <c:pt idx="64">
                  <c:v>15.17639218269661</c:v>
                </c:pt>
                <c:pt idx="65">
                  <c:v>17.39223724646585</c:v>
                </c:pt>
                <c:pt idx="66">
                  <c:v>16.401625231053647</c:v>
                </c:pt>
                <c:pt idx="67">
                  <c:v>17.918217391304264</c:v>
                </c:pt>
                <c:pt idx="68">
                  <c:v>16.752623637887652</c:v>
                </c:pt>
                <c:pt idx="69">
                  <c:v>14.707519457013516</c:v>
                </c:pt>
                <c:pt idx="70">
                  <c:v>15.955045212765967</c:v>
                </c:pt>
                <c:pt idx="71">
                  <c:v>14.795813485590005</c:v>
                </c:pt>
                <c:pt idx="72">
                  <c:v>18.456847852268318</c:v>
                </c:pt>
                <c:pt idx="73">
                  <c:v>19.736171685393231</c:v>
                </c:pt>
                <c:pt idx="74">
                  <c:v>18.105139183901493</c:v>
                </c:pt>
                <c:pt idx="75">
                  <c:v>18.267134677943996</c:v>
                </c:pt>
                <c:pt idx="76">
                  <c:v>17.451608579088472</c:v>
                </c:pt>
                <c:pt idx="77">
                  <c:v>18.471141373802212</c:v>
                </c:pt>
                <c:pt idx="78">
                  <c:v>17.293755751014835</c:v>
                </c:pt>
                <c:pt idx="79">
                  <c:v>18.203257765083787</c:v>
                </c:pt>
                <c:pt idx="80">
                  <c:v>17.908310000000188</c:v>
                </c:pt>
                <c:pt idx="81">
                  <c:v>16.505593142857062</c:v>
                </c:pt>
                <c:pt idx="82">
                  <c:v>16.652655555555608</c:v>
                </c:pt>
                <c:pt idx="83">
                  <c:v>16.151766824644579</c:v>
                </c:pt>
                <c:pt idx="84">
                  <c:v>18.615171519322242</c:v>
                </c:pt>
                <c:pt idx="85">
                  <c:v>19.394634782608641</c:v>
                </c:pt>
                <c:pt idx="86">
                  <c:v>18.744872890888644</c:v>
                </c:pt>
                <c:pt idx="87">
                  <c:v>19.831350000000089</c:v>
                </c:pt>
                <c:pt idx="88">
                  <c:v>20.743793570220085</c:v>
                </c:pt>
                <c:pt idx="89">
                  <c:v>21.384554347825866</c:v>
                </c:pt>
                <c:pt idx="90">
                  <c:v>16.366976811594288</c:v>
                </c:pt>
                <c:pt idx="91">
                  <c:v>16.84115677061088</c:v>
                </c:pt>
                <c:pt idx="92">
                  <c:v>15.468538461538492</c:v>
                </c:pt>
                <c:pt idx="93">
                  <c:v>16.062982475355785</c:v>
                </c:pt>
                <c:pt idx="94">
                  <c:v>15.070172804532572</c:v>
                </c:pt>
                <c:pt idx="95">
                  <c:v>18.571919332406274</c:v>
                </c:pt>
                <c:pt idx="96">
                  <c:v>16.354346727898996</c:v>
                </c:pt>
                <c:pt idx="97">
                  <c:v>14.899056720098651</c:v>
                </c:pt>
                <c:pt idx="98">
                  <c:v>15.370387941176389</c:v>
                </c:pt>
                <c:pt idx="99">
                  <c:v>19.882442914979606</c:v>
                </c:pt>
                <c:pt idx="100">
                  <c:v>18.683465413834483</c:v>
                </c:pt>
                <c:pt idx="101">
                  <c:v>19.744461058045708</c:v>
                </c:pt>
                <c:pt idx="102">
                  <c:v>17.84873853211009</c:v>
                </c:pt>
                <c:pt idx="103">
                  <c:v>16.463221769134186</c:v>
                </c:pt>
                <c:pt idx="104">
                  <c:v>18.032326473339538</c:v>
                </c:pt>
                <c:pt idx="105">
                  <c:v>20.516159609120692</c:v>
                </c:pt>
                <c:pt idx="106">
                  <c:v>17.721836949783057</c:v>
                </c:pt>
                <c:pt idx="107">
                  <c:v>18.068274336283082</c:v>
                </c:pt>
                <c:pt idx="108">
                  <c:v>19.391999999999825</c:v>
                </c:pt>
                <c:pt idx="109">
                  <c:v>21.191403174603447</c:v>
                </c:pt>
                <c:pt idx="110">
                  <c:v>21.258382202522885</c:v>
                </c:pt>
                <c:pt idx="111">
                  <c:v>19.1358847874722</c:v>
                </c:pt>
                <c:pt idx="112">
                  <c:v>17.202519591141559</c:v>
                </c:pt>
                <c:pt idx="113">
                  <c:v>20.800180815200658</c:v>
                </c:pt>
              </c:numCache>
            </c:numRef>
          </c:val>
          <c:smooth val="0"/>
        </c:ser>
        <c:dLbls>
          <c:showLegendKey val="0"/>
          <c:showVal val="0"/>
          <c:showCatName val="0"/>
          <c:showSerName val="0"/>
          <c:showPercent val="0"/>
          <c:showBubbleSize val="0"/>
        </c:dLbls>
        <c:marker val="1"/>
        <c:smooth val="0"/>
        <c:axId val="1172432496"/>
        <c:axId val="1462718320"/>
      </c:lineChart>
      <c:lineChart>
        <c:grouping val="standard"/>
        <c:varyColors val="0"/>
        <c:ser>
          <c:idx val="1"/>
          <c:order val="1"/>
          <c:tx>
            <c:v>media</c:v>
          </c:tx>
          <c:spPr>
            <a:ln w="12700" cap="rnd">
              <a:solidFill>
                <a:srgbClr val="0070C0"/>
              </a:solidFill>
              <a:round/>
            </a:ln>
            <a:effectLst/>
          </c:spPr>
          <c:marker>
            <c:symbol val="none"/>
          </c:marker>
          <c:dPt>
            <c:idx val="1"/>
            <c:bubble3D val="0"/>
          </c:dPt>
          <c:val>
            <c:numRef>
              <c:f>Consumi!$I$3:$I$117</c:f>
              <c:numCache>
                <c:formatCode>0.00</c:formatCode>
                <c:ptCount val="115"/>
                <c:pt idx="0">
                  <c:v>18.79659364966108</c:v>
                </c:pt>
                <c:pt idx="1">
                  <c:v>16.590126334279372</c:v>
                </c:pt>
                <c:pt idx="2">
                  <c:v>16.151497090989373</c:v>
                </c:pt>
                <c:pt idx="3">
                  <c:v>16.290882885622715</c:v>
                </c:pt>
                <c:pt idx="4">
                  <c:v>16.259357008206575</c:v>
                </c:pt>
                <c:pt idx="5">
                  <c:v>15.995181456143122</c:v>
                </c:pt>
                <c:pt idx="6">
                  <c:v>16.735042118292935</c:v>
                </c:pt>
                <c:pt idx="7">
                  <c:v>17.310852471968218</c:v>
                </c:pt>
                <c:pt idx="8">
                  <c:v>16.847480509534993</c:v>
                </c:pt>
                <c:pt idx="9">
                  <c:v>16.905394545233605</c:v>
                </c:pt>
                <c:pt idx="10">
                  <c:v>16.61708516010923</c:v>
                </c:pt>
                <c:pt idx="11">
                  <c:v>16.654173123163286</c:v>
                </c:pt>
                <c:pt idx="12">
                  <c:v>16.734698994604681</c:v>
                </c:pt>
                <c:pt idx="13">
                  <c:v>16.985549806941517</c:v>
                </c:pt>
                <c:pt idx="14">
                  <c:v>17.186331583140525</c:v>
                </c:pt>
                <c:pt idx="15">
                  <c:v>17.362630804866772</c:v>
                </c:pt>
                <c:pt idx="16">
                  <c:v>17.462741072150383</c:v>
                </c:pt>
                <c:pt idx="17">
                  <c:v>17.483337485291766</c:v>
                </c:pt>
                <c:pt idx="18">
                  <c:v>17.430063778470295</c:v>
                </c:pt>
                <c:pt idx="19">
                  <c:v>17.437323210761715</c:v>
                </c:pt>
                <c:pt idx="20">
                  <c:v>17.514702301892004</c:v>
                </c:pt>
                <c:pt idx="21">
                  <c:v>17.534162967981896</c:v>
                </c:pt>
                <c:pt idx="22">
                  <c:v>17.403436149859665</c:v>
                </c:pt>
                <c:pt idx="23">
                  <c:v>17.395963846772624</c:v>
                </c:pt>
                <c:pt idx="24">
                  <c:v>17.353757537953172</c:v>
                </c:pt>
                <c:pt idx="25">
                  <c:v>17.302989545773439</c:v>
                </c:pt>
                <c:pt idx="26">
                  <c:v>17.240929021261259</c:v>
                </c:pt>
                <c:pt idx="27">
                  <c:v>17.152677199989629</c:v>
                </c:pt>
                <c:pt idx="28">
                  <c:v>17.09595777086453</c:v>
                </c:pt>
                <c:pt idx="29">
                  <c:v>17.029123264316443</c:v>
                </c:pt>
                <c:pt idx="30">
                  <c:v>16.950422200232218</c:v>
                </c:pt>
                <c:pt idx="31">
                  <c:v>16.897347424263852</c:v>
                </c:pt>
                <c:pt idx="32">
                  <c:v>16.838452132629012</c:v>
                </c:pt>
                <c:pt idx="33">
                  <c:v>16.74952859931992</c:v>
                </c:pt>
                <c:pt idx="34">
                  <c:v>16.749289486161771</c:v>
                </c:pt>
                <c:pt idx="35">
                  <c:v>16.777082819707225</c:v>
                </c:pt>
                <c:pt idx="36">
                  <c:v>16.835351491342255</c:v>
                </c:pt>
                <c:pt idx="37">
                  <c:v>16.937280365536544</c:v>
                </c:pt>
                <c:pt idx="38">
                  <c:v>17.003422255932303</c:v>
                </c:pt>
                <c:pt idx="39">
                  <c:v>17.011709846600873</c:v>
                </c:pt>
                <c:pt idx="40">
                  <c:v>17.012466080543934</c:v>
                </c:pt>
                <c:pt idx="41">
                  <c:v>17.011032868770542</c:v>
                </c:pt>
                <c:pt idx="42">
                  <c:v>16.967539028590412</c:v>
                </c:pt>
                <c:pt idx="43">
                  <c:v>16.93119553399886</c:v>
                </c:pt>
                <c:pt idx="44">
                  <c:v>16.907738062805823</c:v>
                </c:pt>
                <c:pt idx="45">
                  <c:v>16.920848278178422</c:v>
                </c:pt>
                <c:pt idx="46">
                  <c:v>16.95398692234884</c:v>
                </c:pt>
                <c:pt idx="47">
                  <c:v>16.936643188659037</c:v>
                </c:pt>
                <c:pt idx="48">
                  <c:v>16.919551350363456</c:v>
                </c:pt>
                <c:pt idx="49">
                  <c:v>16.898039554357503</c:v>
                </c:pt>
                <c:pt idx="50">
                  <c:v>16.90200978609689</c:v>
                </c:pt>
                <c:pt idx="51">
                  <c:v>16.882390523081739</c:v>
                </c:pt>
                <c:pt idx="52">
                  <c:v>16.937624860516394</c:v>
                </c:pt>
                <c:pt idx="53">
                  <c:v>16.960423209828896</c:v>
                </c:pt>
                <c:pt idx="54">
                  <c:v>16.972442135334195</c:v>
                </c:pt>
                <c:pt idx="55">
                  <c:v>16.945647398748651</c:v>
                </c:pt>
                <c:pt idx="56">
                  <c:v>16.909628269526596</c:v>
                </c:pt>
                <c:pt idx="57">
                  <c:v>16.889945337298279</c:v>
                </c:pt>
                <c:pt idx="58">
                  <c:v>16.876215739942573</c:v>
                </c:pt>
                <c:pt idx="59">
                  <c:v>16.908197200446018</c:v>
                </c:pt>
                <c:pt idx="60">
                  <c:v>16.930623034411525</c:v>
                </c:pt>
                <c:pt idx="61">
                  <c:v>16.934591854429215</c:v>
                </c:pt>
                <c:pt idx="62">
                  <c:v>16.903303187814817</c:v>
                </c:pt>
                <c:pt idx="63">
                  <c:v>16.863566951520919</c:v>
                </c:pt>
                <c:pt idx="64">
                  <c:v>16.838268969278978</c:v>
                </c:pt>
                <c:pt idx="65">
                  <c:v>16.844042005014348</c:v>
                </c:pt>
                <c:pt idx="66">
                  <c:v>16.836670453622983</c:v>
                </c:pt>
                <c:pt idx="67">
                  <c:v>16.853423923164193</c:v>
                </c:pt>
                <c:pt idx="68">
                  <c:v>16.85191127725399</c:v>
                </c:pt>
                <c:pt idx="69">
                  <c:v>16.813808264908015</c:v>
                </c:pt>
                <c:pt idx="70">
                  <c:v>16.801042475940815</c:v>
                </c:pt>
                <c:pt idx="71">
                  <c:v>16.772738070785579</c:v>
                </c:pt>
                <c:pt idx="72">
                  <c:v>16.800713404244163</c:v>
                </c:pt>
                <c:pt idx="73">
                  <c:v>16.843631511511859</c:v>
                </c:pt>
                <c:pt idx="74">
                  <c:v>16.858697232754565</c:v>
                </c:pt>
                <c:pt idx="75">
                  <c:v>16.874308342344307</c:v>
                </c:pt>
                <c:pt idx="76">
                  <c:v>16.882028255064427</c:v>
                </c:pt>
                <c:pt idx="77">
                  <c:v>16.895643526437436</c:v>
                </c:pt>
                <c:pt idx="78">
                  <c:v>16.899629886566721</c:v>
                </c:pt>
                <c:pt idx="79">
                  <c:v>16.924158812613168</c:v>
                </c:pt>
                <c:pt idx="80">
                  <c:v>16.938664018583445</c:v>
                </c:pt>
                <c:pt idx="81">
                  <c:v>16.93379264649365</c:v>
                </c:pt>
                <c:pt idx="82">
                  <c:v>16.930577142430906</c:v>
                </c:pt>
                <c:pt idx="83">
                  <c:v>16.92019762876696</c:v>
                </c:pt>
                <c:pt idx="84">
                  <c:v>16.94177521629231</c:v>
                </c:pt>
                <c:pt idx="85">
                  <c:v>16.968674631212323</c:v>
                </c:pt>
                <c:pt idx="86">
                  <c:v>16.998514281515249</c:v>
                </c:pt>
                <c:pt idx="87">
                  <c:v>17.023248245800279</c:v>
                </c:pt>
                <c:pt idx="88">
                  <c:v>17.062773581954055</c:v>
                </c:pt>
                <c:pt idx="89">
                  <c:v>17.087179020785154</c:v>
                </c:pt>
                <c:pt idx="90">
                  <c:v>17.079450427749382</c:v>
                </c:pt>
                <c:pt idx="91">
                  <c:v>17.076662436128352</c:v>
                </c:pt>
                <c:pt idx="92">
                  <c:v>17.065121827433764</c:v>
                </c:pt>
                <c:pt idx="93">
                  <c:v>17.052638764959955</c:v>
                </c:pt>
                <c:pt idx="94">
                  <c:v>17.023720155587359</c:v>
                </c:pt>
                <c:pt idx="95">
                  <c:v>17.043122071165161</c:v>
                </c:pt>
                <c:pt idx="96">
                  <c:v>17.035294961648599</c:v>
                </c:pt>
                <c:pt idx="97">
                  <c:v>17.00568055477321</c:v>
                </c:pt>
                <c:pt idx="98">
                  <c:v>16.982717520439834</c:v>
                </c:pt>
                <c:pt idx="99">
                  <c:v>16.998630110910597</c:v>
                </c:pt>
                <c:pt idx="100">
                  <c:v>17.017263851816168</c:v>
                </c:pt>
                <c:pt idx="101">
                  <c:v>17.049700591481074</c:v>
                </c:pt>
                <c:pt idx="102">
                  <c:v>17.055122807555918</c:v>
                </c:pt>
                <c:pt idx="103">
                  <c:v>17.047289984334871</c:v>
                </c:pt>
                <c:pt idx="104">
                  <c:v>17.0597768396539</c:v>
                </c:pt>
                <c:pt idx="105">
                  <c:v>17.077408051110446</c:v>
                </c:pt>
                <c:pt idx="106">
                  <c:v>17.081697199968431</c:v>
                </c:pt>
                <c:pt idx="107">
                  <c:v>17.086404934705179</c:v>
                </c:pt>
                <c:pt idx="108">
                  <c:v>17.10144582195921</c:v>
                </c:pt>
                <c:pt idx="109">
                  <c:v>17.117153839226678</c:v>
                </c:pt>
                <c:pt idx="110">
                  <c:v>17.167300163407656</c:v>
                </c:pt>
                <c:pt idx="111">
                  <c:v>17.188481917355752</c:v>
                </c:pt>
                <c:pt idx="112">
                  <c:v>17.188513773820368</c:v>
                </c:pt>
                <c:pt idx="113">
                  <c:v>17.233506760805309</c:v>
                </c:pt>
              </c:numCache>
            </c:numRef>
          </c:val>
          <c:smooth val="0"/>
        </c:ser>
        <c:dLbls>
          <c:showLegendKey val="0"/>
          <c:showVal val="0"/>
          <c:showCatName val="0"/>
          <c:showSerName val="0"/>
          <c:showPercent val="0"/>
          <c:showBubbleSize val="0"/>
        </c:dLbls>
        <c:marker val="1"/>
        <c:smooth val="0"/>
        <c:axId val="1462725392"/>
        <c:axId val="1462719408"/>
      </c:lineChart>
      <c:catAx>
        <c:axId val="1172432496"/>
        <c:scaling>
          <c:orientation val="minMax"/>
        </c:scaling>
        <c:delete val="0"/>
        <c:axPos val="b"/>
        <c:majorGridlines/>
        <c:numFmt formatCode="#,##0" sourceLinked="1"/>
        <c:majorTickMark val="out"/>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900" b="0" i="0" u="none" strike="noStrike" kern="1200" baseline="0">
                <a:solidFill>
                  <a:schemeClr val="tx1"/>
                </a:solidFill>
                <a:latin typeface="+mn-lt"/>
                <a:ea typeface="+mn-ea"/>
                <a:cs typeface="+mn-cs"/>
              </a:defRPr>
            </a:pPr>
            <a:endParaRPr lang="it-IT"/>
          </a:p>
        </c:txPr>
        <c:crossAx val="1462718320"/>
        <c:crosses val="autoZero"/>
        <c:auto val="1"/>
        <c:lblAlgn val="ctr"/>
        <c:lblOffset val="100"/>
        <c:tickLblSkip val="3"/>
        <c:tickMarkSkip val="12"/>
        <c:noMultiLvlLbl val="1"/>
      </c:catAx>
      <c:valAx>
        <c:axId val="1462718320"/>
        <c:scaling>
          <c:orientation val="minMax"/>
          <c:max val="22"/>
          <c:min val="0"/>
        </c:scaling>
        <c:delete val="0"/>
        <c:axPos val="l"/>
        <c:majorGridlines>
          <c:spPr>
            <a:effectLst/>
          </c:spPr>
        </c:majorGridlines>
        <c:numFmt formatCode="General" sourceLinked="0"/>
        <c:majorTickMark val="cross"/>
        <c:minorTickMark val="in"/>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it-IT"/>
          </a:p>
        </c:txPr>
        <c:crossAx val="1172432496"/>
        <c:crossesAt val="1"/>
        <c:crossBetween val="midCat"/>
        <c:majorUnit val="2"/>
        <c:minorUnit val="0.5"/>
      </c:valAx>
      <c:valAx>
        <c:axId val="1462719408"/>
        <c:scaling>
          <c:orientation val="minMax"/>
          <c:max val="22"/>
          <c:min val="0"/>
        </c:scaling>
        <c:delete val="0"/>
        <c:axPos val="r"/>
        <c:minorGridlines>
          <c:spPr>
            <a:ln>
              <a:prstDash val="dash"/>
            </a:ln>
            <a:effectLst/>
          </c:spPr>
        </c:minorGridlines>
        <c:numFmt formatCode="@"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it-IT"/>
          </a:p>
        </c:txPr>
        <c:crossAx val="1462725392"/>
        <c:crosses val="max"/>
        <c:crossBetween val="between"/>
        <c:majorUnit val="2"/>
        <c:minorUnit val="0.5"/>
      </c:valAx>
      <c:catAx>
        <c:axId val="1462725392"/>
        <c:scaling>
          <c:orientation val="minMax"/>
        </c:scaling>
        <c:delete val="1"/>
        <c:axPos val="b"/>
        <c:majorTickMark val="out"/>
        <c:minorTickMark val="none"/>
        <c:tickLblPos val="nextTo"/>
        <c:crossAx val="1462719408"/>
        <c:crosses val="autoZero"/>
        <c:auto val="1"/>
        <c:lblAlgn val="ctr"/>
        <c:lblOffset val="100"/>
        <c:noMultiLvlLbl val="0"/>
      </c:catAx>
      <c:spPr>
        <a:noFill/>
        <a:ln>
          <a:solidFill>
            <a:schemeClr val="tx1"/>
          </a:solidFill>
        </a:ln>
        <a:effectLst/>
      </c:spPr>
    </c:plotArea>
    <c:plotVisOnly val="1"/>
    <c:dispBlanksAs val="gap"/>
    <c:showDLblsOverMax val="0"/>
  </c:chart>
  <c:spPr>
    <a:solidFill>
      <a:schemeClr val="bg1"/>
    </a:solidFill>
    <a:effectLst/>
  </c:spPr>
  <c:txPr>
    <a:bodyPr/>
    <a:lstStyle/>
    <a:p>
      <a:pPr>
        <a:defRPr/>
      </a:pPr>
      <a:endParaRPr lang="it-IT"/>
    </a:p>
  </c:txPr>
  <c:printSettings>
    <c:headerFooter/>
    <c:pageMargins b="0.75" l="0.7" r="0.7" t="0.75" header="0.3" footer="0.3"/>
    <c:pageSetup orientation="portrait" horizontalDpi="-1" verticalDpi="-1"/>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505242186350641E-2"/>
          <c:y val="9.4306631886406991E-2"/>
          <c:w val="0.84547869181970781"/>
          <c:h val="0.83854805078593253"/>
        </c:manualLayout>
      </c:layout>
      <c:lineChart>
        <c:grouping val="standard"/>
        <c:varyColors val="0"/>
        <c:ser>
          <c:idx val="0"/>
          <c:order val="0"/>
          <c:tx>
            <c:v>km mese</c:v>
          </c:tx>
          <c:spPr>
            <a:ln w="19050">
              <a:solidFill>
                <a:srgbClr val="FF0000"/>
              </a:solidFill>
            </a:ln>
          </c:spPr>
          <c:marker>
            <c:symbol val="none"/>
          </c:marker>
          <c:cat>
            <c:numRef>
              <c:f>Totale!$A$72:$A$78</c:f>
              <c:numCache>
                <c:formatCode>m\.yy</c:formatCode>
                <c:ptCount val="7"/>
                <c:pt idx="0">
                  <c:v>43190</c:v>
                </c:pt>
                <c:pt idx="1">
                  <c:v>43220</c:v>
                </c:pt>
                <c:pt idx="2">
                  <c:v>43251</c:v>
                </c:pt>
                <c:pt idx="3">
                  <c:v>43281</c:v>
                </c:pt>
                <c:pt idx="4">
                  <c:v>43312</c:v>
                </c:pt>
                <c:pt idx="5">
                  <c:v>43343</c:v>
                </c:pt>
                <c:pt idx="6">
                  <c:v>43373</c:v>
                </c:pt>
              </c:numCache>
            </c:numRef>
          </c:cat>
          <c:val>
            <c:numRef>
              <c:f>Totale!$E$72:$E$78</c:f>
              <c:numCache>
                <c:formatCode>#,##0</c:formatCode>
                <c:ptCount val="7"/>
                <c:pt idx="0">
                  <c:v>3140.0956424570795</c:v>
                </c:pt>
                <c:pt idx="1">
                  <c:v>3296.64</c:v>
                </c:pt>
                <c:pt idx="2">
                  <c:v>5952.94</c:v>
                </c:pt>
                <c:pt idx="3">
                  <c:v>12847.199999999999</c:v>
                </c:pt>
                <c:pt idx="4">
                  <c:v>1946.2700000000004</c:v>
                </c:pt>
                <c:pt idx="5">
                  <c:v>0</c:v>
                </c:pt>
                <c:pt idx="6">
                  <c:v>1958.3900000000031</c:v>
                </c:pt>
              </c:numCache>
            </c:numRef>
          </c:val>
          <c:smooth val="0"/>
        </c:ser>
        <c:dLbls>
          <c:showLegendKey val="0"/>
          <c:showVal val="0"/>
          <c:showCatName val="0"/>
          <c:showSerName val="0"/>
          <c:showPercent val="0"/>
          <c:showBubbleSize val="0"/>
        </c:dLbls>
        <c:marker val="1"/>
        <c:smooth val="0"/>
        <c:axId val="1462730288"/>
        <c:axId val="1462723216"/>
      </c:lineChart>
      <c:lineChart>
        <c:grouping val="standard"/>
        <c:varyColors val="0"/>
        <c:ser>
          <c:idx val="1"/>
          <c:order val="1"/>
          <c:tx>
            <c:v>Km T</c:v>
          </c:tx>
          <c:spPr>
            <a:ln w="19050">
              <a:solidFill>
                <a:srgbClr val="0070C0"/>
              </a:solidFill>
            </a:ln>
          </c:spPr>
          <c:marker>
            <c:symbol val="none"/>
          </c:marker>
          <c:val>
            <c:numRef>
              <c:f>Totale!$I$72:$I$78</c:f>
              <c:numCache>
                <c:formatCode>#,##0</c:formatCode>
                <c:ptCount val="7"/>
                <c:pt idx="0">
                  <c:v>36996.657506133219</c:v>
                </c:pt>
                <c:pt idx="1">
                  <c:v>39510.739197327806</c:v>
                </c:pt>
                <c:pt idx="2">
                  <c:v>53379.522245402863</c:v>
                </c:pt>
                <c:pt idx="3">
                  <c:v>84773.084110535361</c:v>
                </c:pt>
                <c:pt idx="4">
                  <c:v>69964.419132473748</c:v>
                </c:pt>
                <c:pt idx="5">
                  <c:v>56447.533171798677</c:v>
                </c:pt>
                <c:pt idx="6">
                  <c:v>51311.823337212219</c:v>
                </c:pt>
              </c:numCache>
            </c:numRef>
          </c:val>
          <c:smooth val="0"/>
        </c:ser>
        <c:dLbls>
          <c:showLegendKey val="0"/>
          <c:showVal val="0"/>
          <c:showCatName val="0"/>
          <c:showSerName val="0"/>
          <c:showPercent val="0"/>
          <c:showBubbleSize val="0"/>
        </c:dLbls>
        <c:marker val="1"/>
        <c:smooth val="0"/>
        <c:axId val="1462720496"/>
        <c:axId val="1462729200"/>
      </c:lineChart>
      <c:dateAx>
        <c:axId val="1462730288"/>
        <c:scaling>
          <c:orientation val="minMax"/>
        </c:scaling>
        <c:delete val="0"/>
        <c:axPos val="b"/>
        <c:majorGridlines/>
        <c:numFmt formatCode="m\.yy" sourceLinked="1"/>
        <c:majorTickMark val="out"/>
        <c:minorTickMark val="none"/>
        <c:tickLblPos val="nextTo"/>
        <c:crossAx val="1462723216"/>
        <c:crosses val="autoZero"/>
        <c:auto val="1"/>
        <c:lblOffset val="100"/>
        <c:baseTimeUnit val="months"/>
      </c:dateAx>
      <c:valAx>
        <c:axId val="1462723216"/>
        <c:scaling>
          <c:orientation val="minMax"/>
          <c:max val="14000"/>
        </c:scaling>
        <c:delete val="0"/>
        <c:axPos val="l"/>
        <c:majorGridlines/>
        <c:title>
          <c:tx>
            <c:rich>
              <a:bodyPr rot="0" vert="horz"/>
              <a:lstStyle/>
              <a:p>
                <a:pPr>
                  <a:defRPr/>
                </a:pPr>
                <a:r>
                  <a:rPr lang="it-IT"/>
                  <a:t>km</a:t>
                </a:r>
                <a:r>
                  <a:rPr lang="it-IT" baseline="0"/>
                  <a:t> mese</a:t>
                </a:r>
              </a:p>
            </c:rich>
          </c:tx>
          <c:layout>
            <c:manualLayout>
              <c:xMode val="edge"/>
              <c:yMode val="edge"/>
              <c:x val="0"/>
              <c:y val="2.4155607894781276E-2"/>
            </c:manualLayout>
          </c:layout>
          <c:overlay val="0"/>
        </c:title>
        <c:numFmt formatCode="#,##0" sourceLinked="1"/>
        <c:majorTickMark val="out"/>
        <c:minorTickMark val="in"/>
        <c:tickLblPos val="nextTo"/>
        <c:crossAx val="1462730288"/>
        <c:crosses val="autoZero"/>
        <c:crossBetween val="midCat"/>
        <c:majorUnit val="1000"/>
        <c:minorUnit val="250"/>
      </c:valAx>
      <c:valAx>
        <c:axId val="1462729200"/>
        <c:scaling>
          <c:orientation val="minMax"/>
          <c:max val="168000"/>
        </c:scaling>
        <c:delete val="0"/>
        <c:axPos val="r"/>
        <c:majorGridlines/>
        <c:minorGridlines>
          <c:spPr>
            <a:ln>
              <a:prstDash val="dash"/>
            </a:ln>
          </c:spPr>
        </c:minorGridlines>
        <c:title>
          <c:tx>
            <c:rich>
              <a:bodyPr rot="0" vert="horz"/>
              <a:lstStyle/>
              <a:p>
                <a:pPr>
                  <a:defRPr/>
                </a:pPr>
                <a:r>
                  <a:rPr lang="it-IT"/>
                  <a:t>km anno</a:t>
                </a:r>
              </a:p>
            </c:rich>
          </c:tx>
          <c:layout>
            <c:manualLayout>
              <c:xMode val="edge"/>
              <c:yMode val="edge"/>
              <c:x val="0.92067755221654823"/>
              <c:y val="2.147533302942815E-2"/>
            </c:manualLayout>
          </c:layout>
          <c:overlay val="0"/>
        </c:title>
        <c:numFmt formatCode="#,##0" sourceLinked="1"/>
        <c:majorTickMark val="out"/>
        <c:minorTickMark val="in"/>
        <c:tickLblPos val="nextTo"/>
        <c:crossAx val="1462720496"/>
        <c:crosses val="max"/>
        <c:crossBetween val="between"/>
        <c:majorUnit val="12000"/>
        <c:minorUnit val="3000"/>
      </c:valAx>
      <c:catAx>
        <c:axId val="1462720496"/>
        <c:scaling>
          <c:orientation val="minMax"/>
        </c:scaling>
        <c:delete val="1"/>
        <c:axPos val="b"/>
        <c:majorTickMark val="out"/>
        <c:minorTickMark val="none"/>
        <c:tickLblPos val="nextTo"/>
        <c:crossAx val="1462729200"/>
        <c:crosses val="autoZero"/>
        <c:auto val="1"/>
        <c:lblAlgn val="ctr"/>
        <c:lblOffset val="100"/>
        <c:noMultiLvlLbl val="0"/>
      </c:catAx>
    </c:plotArea>
    <c:legend>
      <c:legendPos val="t"/>
      <c:overlay val="0"/>
      <c:txPr>
        <a:bodyPr/>
        <a:lstStyle/>
        <a:p>
          <a:pPr rtl="0">
            <a:defRPr/>
          </a:pPr>
          <a:endParaRPr lang="it-IT"/>
        </a:p>
      </c:txPr>
    </c:legend>
    <c:plotVisOnly val="1"/>
    <c:dispBlanksAs val="gap"/>
    <c:showDLblsOverMax val="0"/>
  </c:chart>
  <c:printSettings>
    <c:headerFooter alignWithMargins="0">
      <c:oddHeader>&amp;A</c:oddHeader>
      <c:oddFooter>Pagina &amp;P</c:oddFooter>
    </c:headerFooter>
    <c:pageMargins b="1" l="0.75" r="0.75" t="1" header="0.5" footer="0.5"/>
    <c:pageSetup paperSize="9" orientation="landscape" horizontalDpi="3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721327775794691"/>
          <c:y val="0.20979050826565157"/>
          <c:w val="0.51024628454461118"/>
          <c:h val="0.58042040620163604"/>
        </c:manualLayout>
      </c:layout>
      <c:pieChart>
        <c:varyColors val="1"/>
        <c:ser>
          <c:idx val="0"/>
          <c:order val="0"/>
          <c:spPr>
            <a:solidFill>
              <a:srgbClr val="9999FF"/>
            </a:solidFill>
            <a:ln w="3175">
              <a:solidFill>
                <a:srgbClr val="000000"/>
              </a:solidFill>
              <a:prstDash val="solid"/>
            </a:ln>
          </c:spPr>
          <c:dPt>
            <c:idx val="0"/>
            <c:bubble3D val="0"/>
            <c:spPr>
              <a:solidFill>
                <a:srgbClr val="FF0000"/>
              </a:solidFill>
              <a:ln w="3175">
                <a:solidFill>
                  <a:srgbClr val="000000"/>
                </a:solidFill>
                <a:prstDash val="solid"/>
              </a:ln>
            </c:spPr>
          </c:dPt>
          <c:dPt>
            <c:idx val="1"/>
            <c:bubble3D val="0"/>
            <c:spPr>
              <a:solidFill>
                <a:srgbClr val="00FF00"/>
              </a:solidFill>
              <a:ln w="3175">
                <a:solidFill>
                  <a:srgbClr val="000000"/>
                </a:solidFill>
                <a:prstDash val="solid"/>
              </a:ln>
            </c:spPr>
          </c:dPt>
          <c:dPt>
            <c:idx val="2"/>
            <c:bubble3D val="0"/>
            <c:spPr>
              <a:solidFill>
                <a:srgbClr val="FFFF00"/>
              </a:solidFill>
              <a:ln w="3175">
                <a:solidFill>
                  <a:srgbClr val="000000"/>
                </a:solidFill>
                <a:prstDash val="solid"/>
              </a:ln>
            </c:spPr>
          </c:dPt>
          <c:dPt>
            <c:idx val="3"/>
            <c:bubble3D val="0"/>
            <c:spPr>
              <a:solidFill>
                <a:srgbClr val="CCFFFF"/>
              </a:solidFill>
              <a:ln w="3175">
                <a:solidFill>
                  <a:srgbClr val="000000"/>
                </a:solidFill>
                <a:prstDash val="solid"/>
              </a:ln>
            </c:spPr>
          </c:dPt>
          <c:dLbls>
            <c:dLbl>
              <c:idx val="0"/>
              <c:numFmt formatCode="0%" sourceLinked="0"/>
              <c:spPr>
                <a:noFill/>
                <a:ln w="25400">
                  <a:noFill/>
                </a:ln>
              </c:spPr>
              <c:txPr>
                <a:bodyPr/>
                <a:lstStyle/>
                <a:p>
                  <a:pPr>
                    <a:defRPr sz="700" b="0" i="0" u="none" strike="noStrike" baseline="0">
                      <a:solidFill>
                        <a:srgbClr val="000000"/>
                      </a:solidFill>
                      <a:latin typeface="Arial"/>
                      <a:ea typeface="Arial"/>
                      <a:cs typeface="Arial"/>
                    </a:defRPr>
                  </a:pPr>
                  <a:endParaRPr lang="it-IT"/>
                </a:p>
              </c:txPr>
              <c:dLblPos val="bestFit"/>
              <c:showLegendKey val="0"/>
              <c:showVal val="0"/>
              <c:showCatName val="1"/>
              <c:showSerName val="0"/>
              <c:showPercent val="1"/>
              <c:showBubbleSize val="0"/>
            </c:dLbl>
            <c:dLbl>
              <c:idx val="3"/>
              <c:numFmt formatCode="0%" sourceLinked="0"/>
              <c:spPr>
                <a:noFill/>
                <a:ln w="25400">
                  <a:noFill/>
                </a:ln>
              </c:spPr>
              <c:txPr>
                <a:bodyPr/>
                <a:lstStyle/>
                <a:p>
                  <a:pPr>
                    <a:defRPr sz="700" b="0" i="0" u="none" strike="noStrike" baseline="0">
                      <a:solidFill>
                        <a:srgbClr val="000000"/>
                      </a:solidFill>
                      <a:latin typeface="Arial"/>
                      <a:ea typeface="Arial"/>
                      <a:cs typeface="Arial"/>
                    </a:defRPr>
                  </a:pPr>
                  <a:endParaRPr lang="it-IT"/>
                </a:p>
              </c:txPr>
              <c:dLblPos val="bestFit"/>
              <c:showLegendKey val="0"/>
              <c:showVal val="0"/>
              <c:showCatName val="1"/>
              <c:showSerName val="0"/>
              <c:showPercent val="1"/>
              <c:showBubbleSize val="0"/>
            </c:dLbl>
            <c:numFmt formatCode="0%" sourceLinked="0"/>
            <c:spPr>
              <a:noFill/>
              <a:ln w="25400">
                <a:noFill/>
              </a:ln>
            </c:spPr>
            <c:txPr>
              <a:bodyPr wrap="square" lIns="38100" tIns="19050" rIns="38100" bIns="19050" anchor="ctr">
                <a:spAutoFit/>
              </a:bodyPr>
              <a:lstStyle/>
              <a:p>
                <a:pPr>
                  <a:defRPr sz="700" b="0" i="0" u="none" strike="noStrike" baseline="0">
                    <a:solidFill>
                      <a:srgbClr val="000000"/>
                    </a:solidFill>
                    <a:latin typeface="Arial"/>
                    <a:ea typeface="Arial"/>
                    <a:cs typeface="Arial"/>
                  </a:defRPr>
                </a:pPr>
                <a:endParaRPr lang="it-IT"/>
              </a:p>
            </c:txPr>
            <c:dLblPos val="bestFit"/>
            <c:showLegendKey val="0"/>
            <c:showVal val="0"/>
            <c:showCatName val="1"/>
            <c:showSerName val="0"/>
            <c:showPercent val="1"/>
            <c:showBubbleSize val="0"/>
            <c:showLeaderLines val="1"/>
            <c:extLst>
              <c:ext xmlns:c15="http://schemas.microsoft.com/office/drawing/2012/chart" uri="{CE6537A1-D6FC-4f65-9D91-7224C49458BB}"/>
            </c:extLst>
          </c:dLbls>
          <c:cat>
            <c:strRef>
              <c:f>Mesi!$AA$23:$AA$26</c:f>
              <c:strCache>
                <c:ptCount val="4"/>
                <c:pt idx="0">
                  <c:v>estate</c:v>
                </c:pt>
                <c:pt idx="1">
                  <c:v>autunno</c:v>
                </c:pt>
                <c:pt idx="2">
                  <c:v>inverno</c:v>
                </c:pt>
                <c:pt idx="3">
                  <c:v>primavera</c:v>
                </c:pt>
              </c:strCache>
            </c:strRef>
          </c:cat>
          <c:val>
            <c:numRef>
              <c:f>Mesi!$AB$23:$AB$26</c:f>
              <c:numCache>
                <c:formatCode>_(* #,##0_);_(* \(#,##0\);_(* "-"_);_(@_)</c:formatCode>
                <c:ptCount val="4"/>
                <c:pt idx="0">
                  <c:v>0</c:v>
                </c:pt>
                <c:pt idx="1">
                  <c:v>0</c:v>
                </c:pt>
                <c:pt idx="2">
                  <c:v>0</c:v>
                </c:pt>
                <c:pt idx="3">
                  <c:v>0</c:v>
                </c:pt>
              </c:numCache>
            </c:numRef>
          </c:val>
        </c:ser>
        <c:dLbls>
          <c:showLegendKey val="0"/>
          <c:showVal val="0"/>
          <c:showCatName val="0"/>
          <c:showSerName val="0"/>
          <c:showPercent val="0"/>
          <c:showBubbleSize val="0"/>
          <c:showLeaderLines val="1"/>
        </c:dLbls>
        <c:firstSliceAng val="300"/>
      </c:pie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it-IT"/>
    </a:p>
  </c:txPr>
  <c:printSettings>
    <c:headerFooter alignWithMargins="0"/>
    <c:pageMargins b="1" l="0.75" r="0.75" t="1" header="0.5" footer="0.5"/>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349693251533742E-2"/>
          <c:y val="5.6720132793313616E-2"/>
          <c:w val="0.8665644171779141"/>
          <c:h val="0.8569672237250644"/>
        </c:manualLayout>
      </c:layout>
      <c:lineChart>
        <c:grouping val="standard"/>
        <c:varyColors val="0"/>
        <c:ser>
          <c:idx val="0"/>
          <c:order val="0"/>
          <c:tx>
            <c:strRef>
              <c:f>Mesi!$B$14</c:f>
              <c:strCache>
                <c:ptCount val="1"/>
                <c:pt idx="0">
                  <c:v>gen/dic</c:v>
                </c:pt>
              </c:strCache>
            </c:strRef>
          </c:tx>
          <c:spPr>
            <a:ln w="25400">
              <a:solidFill>
                <a:srgbClr val="FF0000"/>
              </a:solidFill>
              <a:prstDash val="solid"/>
            </a:ln>
          </c:spPr>
          <c:marker>
            <c:symbol val="none"/>
          </c:marker>
          <c:cat>
            <c:numRef>
              <c:f>Mesi!$G$1:$Y$1</c:f>
              <c:numCache>
                <c:formatCode>General</c:formatCode>
                <c:ptCount val="19"/>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numCache>
            </c:numRef>
          </c:cat>
          <c:val>
            <c:numRef>
              <c:f>Mesi!$G$14:$Y$14</c:f>
              <c:numCache>
                <c:formatCode>_(* #,##0_);_(* \(#,##0\);_(* "-"_);_(@_)</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smooth val="0"/>
        </c:ser>
        <c:ser>
          <c:idx val="1"/>
          <c:order val="1"/>
          <c:tx>
            <c:strRef>
              <c:f>Mesi!$B$15</c:f>
              <c:strCache>
                <c:ptCount val="1"/>
                <c:pt idx="0">
                  <c:v>13.2</c:v>
                </c:pt>
              </c:strCache>
            </c:strRef>
          </c:tx>
          <c:spPr>
            <a:ln w="25400">
              <a:solidFill>
                <a:srgbClr val="0066CC"/>
              </a:solidFill>
              <a:prstDash val="solid"/>
            </a:ln>
          </c:spPr>
          <c:marker>
            <c:symbol val="none"/>
          </c:marker>
          <c:cat>
            <c:numRef>
              <c:f>Mesi!$G$1:$Y$1</c:f>
              <c:numCache>
                <c:formatCode>General</c:formatCode>
                <c:ptCount val="19"/>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numCache>
            </c:numRef>
          </c:cat>
          <c:val>
            <c:numRef>
              <c:f>Mesi!$G$15:$X$15</c:f>
              <c:numCache>
                <c:formatCode>#,##0_ ;\-#,##0\ </c:formatCode>
                <c:ptCount val="18"/>
                <c:pt idx="0" formatCode="_(* #,##0_);_(* \(#,##0\);_(* &quot;-&quot;_);_(@_)">
                  <c:v>23765.200000000001</c:v>
                </c:pt>
                <c:pt idx="1">
                  <c:v>26383.947</c:v>
                </c:pt>
                <c:pt idx="2">
                  <c:v>32151.495999999999</c:v>
                </c:pt>
                <c:pt idx="3">
                  <c:v>40097.732999999993</c:v>
                </c:pt>
                <c:pt idx="4">
                  <c:v>44818.548999999999</c:v>
                </c:pt>
                <c:pt idx="5">
                  <c:v>52978.27</c:v>
                </c:pt>
                <c:pt idx="6">
                  <c:v>49296.58799999996</c:v>
                </c:pt>
                <c:pt idx="7">
                  <c:v>79498.539000000048</c:v>
                </c:pt>
                <c:pt idx="8">
                  <c:v>78899.456999999995</c:v>
                </c:pt>
                <c:pt idx="9">
                  <c:v>70048.584000000032</c:v>
                </c:pt>
                <c:pt idx="10">
                  <c:v>66266.876999999979</c:v>
                </c:pt>
                <c:pt idx="11">
                  <c:v>56235.729999999981</c:v>
                </c:pt>
                <c:pt idx="12">
                  <c:v>0</c:v>
                </c:pt>
                <c:pt idx="13">
                  <c:v>0</c:v>
                </c:pt>
                <c:pt idx="14">
                  <c:v>0</c:v>
                </c:pt>
                <c:pt idx="15">
                  <c:v>0</c:v>
                </c:pt>
                <c:pt idx="16">
                  <c:v>0</c:v>
                </c:pt>
                <c:pt idx="17">
                  <c:v>0</c:v>
                </c:pt>
              </c:numCache>
            </c:numRef>
          </c:val>
          <c:smooth val="0"/>
        </c:ser>
        <c:ser>
          <c:idx val="2"/>
          <c:order val="2"/>
          <c:tx>
            <c:strRef>
              <c:f>Mesi!$B$16</c:f>
              <c:strCache>
                <c:ptCount val="1"/>
                <c:pt idx="0">
                  <c:v>media</c:v>
                </c:pt>
              </c:strCache>
            </c:strRef>
          </c:tx>
          <c:spPr>
            <a:ln w="25400">
              <a:solidFill>
                <a:srgbClr val="008000"/>
              </a:solidFill>
              <a:prstDash val="solid"/>
            </a:ln>
          </c:spPr>
          <c:marker>
            <c:symbol val="none"/>
          </c:marker>
          <c:cat>
            <c:numRef>
              <c:f>Mesi!$G$1:$Y$1</c:f>
              <c:numCache>
                <c:formatCode>General</c:formatCode>
                <c:ptCount val="19"/>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numCache>
            </c:numRef>
          </c:cat>
          <c:val>
            <c:numRef>
              <c:f>Mesi!$G$16:$X$16</c:f>
              <c:numCache>
                <c:formatCode>#,##0_ ;\-#,##0\ </c:formatCode>
                <c:ptCount val="18"/>
                <c:pt idx="0">
                  <c:v>23765.200000000001</c:v>
                </c:pt>
                <c:pt idx="1">
                  <c:v>25074.573499999999</c:v>
                </c:pt>
                <c:pt idx="2">
                  <c:v>27433.547666666665</c:v>
                </c:pt>
                <c:pt idx="3">
                  <c:v>30599.593999999997</c:v>
                </c:pt>
                <c:pt idx="4">
                  <c:v>33443.384999999995</c:v>
                </c:pt>
                <c:pt idx="5">
                  <c:v>36699.199166666665</c:v>
                </c:pt>
                <c:pt idx="6">
                  <c:v>38498.826142857135</c:v>
                </c:pt>
                <c:pt idx="7">
                  <c:v>43623.790249999998</c:v>
                </c:pt>
                <c:pt idx="8">
                  <c:v>47543.308777777776</c:v>
                </c:pt>
                <c:pt idx="9">
                  <c:v>49793.836300000003</c:v>
                </c:pt>
                <c:pt idx="10">
                  <c:v>51291.385454545452</c:v>
                </c:pt>
                <c:pt idx="11">
                  <c:v>51703.414166666662</c:v>
                </c:pt>
                <c:pt idx="12">
                  <c:v>0</c:v>
                </c:pt>
                <c:pt idx="13">
                  <c:v>0</c:v>
                </c:pt>
                <c:pt idx="14">
                  <c:v>0</c:v>
                </c:pt>
                <c:pt idx="15">
                  <c:v>0</c:v>
                </c:pt>
                <c:pt idx="16">
                  <c:v>0</c:v>
                </c:pt>
                <c:pt idx="17">
                  <c:v>0</c:v>
                </c:pt>
              </c:numCache>
            </c:numRef>
          </c:val>
          <c:smooth val="0"/>
        </c:ser>
        <c:dLbls>
          <c:showLegendKey val="0"/>
          <c:showVal val="0"/>
          <c:showCatName val="0"/>
          <c:showSerName val="0"/>
          <c:showPercent val="0"/>
          <c:showBubbleSize val="0"/>
        </c:dLbls>
        <c:dropLines>
          <c:spPr>
            <a:ln w="6350"/>
          </c:spPr>
        </c:dropLines>
        <c:marker val="1"/>
        <c:smooth val="0"/>
        <c:axId val="1462717776"/>
        <c:axId val="1462721584"/>
      </c:lineChart>
      <c:lineChart>
        <c:grouping val="standard"/>
        <c:varyColors val="0"/>
        <c:ser>
          <c:idx val="3"/>
          <c:order val="3"/>
          <c:spPr>
            <a:ln w="12700">
              <a:solidFill>
                <a:srgbClr val="FFFFFF"/>
              </a:solidFill>
              <a:prstDash val="solid"/>
            </a:ln>
          </c:spPr>
          <c:marker>
            <c:symbol val="none"/>
          </c:marker>
          <c:cat>
            <c:numRef>
              <c:f>Mesi!$G$1:$W$1</c:f>
              <c:numCache>
                <c:formatCode>General</c:formatCode>
                <c:ptCount val="17"/>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numCache>
            </c:numRef>
          </c:cat>
          <c:val>
            <c:numRef>
              <c:f>Mesi!$I$23:$I$23</c:f>
              <c:numCache>
                <c:formatCode>_(* #,##0_);_(* \(#,##0\);_(* "-"_);_(@_)</c:formatCode>
                <c:ptCount val="1"/>
                <c:pt idx="0">
                  <c:v>0</c:v>
                </c:pt>
              </c:numCache>
            </c:numRef>
          </c:val>
          <c:smooth val="0"/>
        </c:ser>
        <c:dLbls>
          <c:showLegendKey val="0"/>
          <c:showVal val="0"/>
          <c:showCatName val="0"/>
          <c:showSerName val="0"/>
          <c:showPercent val="0"/>
          <c:showBubbleSize val="0"/>
        </c:dLbls>
        <c:marker val="1"/>
        <c:smooth val="0"/>
        <c:axId val="1462718864"/>
        <c:axId val="1462722128"/>
      </c:lineChart>
      <c:catAx>
        <c:axId val="146271777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200" b="0" i="0" u="none" strike="noStrike" baseline="0">
                <a:solidFill>
                  <a:srgbClr val="000000"/>
                </a:solidFill>
                <a:latin typeface="Arial"/>
                <a:ea typeface="Arial"/>
                <a:cs typeface="Arial"/>
              </a:defRPr>
            </a:pPr>
            <a:endParaRPr lang="it-IT"/>
          </a:p>
        </c:txPr>
        <c:crossAx val="1462721584"/>
        <c:crosses val="autoZero"/>
        <c:auto val="1"/>
        <c:lblAlgn val="ctr"/>
        <c:lblOffset val="100"/>
        <c:tickLblSkip val="1"/>
        <c:tickMarkSkip val="1"/>
        <c:noMultiLvlLbl val="0"/>
      </c:catAx>
      <c:valAx>
        <c:axId val="1462721584"/>
        <c:scaling>
          <c:orientation val="minMax"/>
          <c:max val="84000"/>
          <c:min val="0"/>
        </c:scaling>
        <c:delete val="0"/>
        <c:axPos val="l"/>
        <c:majorGridlines>
          <c:spPr>
            <a:ln w="3175">
              <a:solidFill>
                <a:srgbClr val="000000"/>
              </a:solidFill>
              <a:prstDash val="solid"/>
            </a:ln>
          </c:spPr>
        </c:majorGridlines>
        <c:minorGridlines>
          <c:spPr>
            <a:ln w="6350">
              <a:solidFill>
                <a:srgbClr val="000000"/>
              </a:solidFill>
              <a:prstDash val="dashDot"/>
            </a:ln>
          </c:spPr>
        </c:minorGridlines>
        <c:numFmt formatCode="_(* #,##0_);_(* \(#,##0\);_(* &quot;-&quot;_);_(@_)"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it-IT"/>
          </a:p>
        </c:txPr>
        <c:crossAx val="1462717776"/>
        <c:crosses val="autoZero"/>
        <c:crossBetween val="midCat"/>
        <c:majorUnit val="12000"/>
        <c:minorUnit val="2000"/>
      </c:valAx>
      <c:catAx>
        <c:axId val="1462718864"/>
        <c:scaling>
          <c:orientation val="minMax"/>
        </c:scaling>
        <c:delete val="1"/>
        <c:axPos val="b"/>
        <c:numFmt formatCode="General" sourceLinked="1"/>
        <c:majorTickMark val="out"/>
        <c:minorTickMark val="none"/>
        <c:tickLblPos val="nextTo"/>
        <c:crossAx val="1462722128"/>
        <c:crosses val="autoZero"/>
        <c:auto val="1"/>
        <c:lblAlgn val="ctr"/>
        <c:lblOffset val="100"/>
        <c:noMultiLvlLbl val="0"/>
      </c:catAx>
      <c:valAx>
        <c:axId val="1462722128"/>
        <c:scaling>
          <c:orientation val="minMax"/>
          <c:max val="7000"/>
          <c:min val="0"/>
        </c:scaling>
        <c:delete val="0"/>
        <c:axPos val="r"/>
        <c:numFmt formatCode="_(* #,##0_);_(* \(#,##0\);_(* &quot;-&quot;_);_(@_)" sourceLinked="1"/>
        <c:majorTickMark val="cross"/>
        <c:minorTickMark val="out"/>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it-IT"/>
          </a:p>
        </c:txPr>
        <c:crossAx val="1462718864"/>
        <c:crosses val="max"/>
        <c:crossBetween val="midCat"/>
        <c:majorUnit val="1000"/>
        <c:minorUnit val="200"/>
      </c:valAx>
      <c:spPr>
        <a:noFill/>
        <a:ln w="3175">
          <a:solidFill>
            <a:srgbClr val="000000"/>
          </a:solidFill>
          <a:prstDash val="solid"/>
        </a:ln>
      </c:spPr>
    </c:plotArea>
    <c:legend>
      <c:legendPos val="r"/>
      <c:legendEntry>
        <c:idx val="0"/>
        <c:txPr>
          <a:bodyPr/>
          <a:lstStyle/>
          <a:p>
            <a:pPr>
              <a:defRPr sz="775" b="0" i="0" u="none" strike="noStrike" baseline="0">
                <a:solidFill>
                  <a:srgbClr val="000000"/>
                </a:solidFill>
                <a:latin typeface="Arial"/>
                <a:ea typeface="Arial"/>
                <a:cs typeface="Arial"/>
              </a:defRPr>
            </a:pPr>
            <a:endParaRPr lang="it-IT"/>
          </a:p>
        </c:txPr>
      </c:legendEntry>
      <c:legendEntry>
        <c:idx val="1"/>
        <c:txPr>
          <a:bodyPr/>
          <a:lstStyle/>
          <a:p>
            <a:pPr>
              <a:defRPr sz="775" b="0" i="0" u="none" strike="noStrike" baseline="0">
                <a:solidFill>
                  <a:srgbClr val="000000"/>
                </a:solidFill>
                <a:latin typeface="Arial"/>
                <a:ea typeface="Arial"/>
                <a:cs typeface="Arial"/>
              </a:defRPr>
            </a:pPr>
            <a:endParaRPr lang="it-IT"/>
          </a:p>
        </c:txPr>
      </c:legendEntry>
      <c:legendEntry>
        <c:idx val="2"/>
        <c:txPr>
          <a:bodyPr/>
          <a:lstStyle/>
          <a:p>
            <a:pPr>
              <a:defRPr sz="775" b="0" i="0" u="none" strike="noStrike" baseline="0">
                <a:solidFill>
                  <a:srgbClr val="000000"/>
                </a:solidFill>
                <a:latin typeface="Arial"/>
                <a:ea typeface="Arial"/>
                <a:cs typeface="Arial"/>
              </a:defRPr>
            </a:pPr>
            <a:endParaRPr lang="it-IT"/>
          </a:p>
        </c:txPr>
      </c:legendEntry>
      <c:legendEntry>
        <c:idx val="3"/>
        <c:delete val="1"/>
      </c:legendEntry>
      <c:layout>
        <c:manualLayout>
          <c:xMode val="edge"/>
          <c:yMode val="edge"/>
          <c:x val="0.39482728370631692"/>
          <c:y val="9.2824219953097312E-3"/>
          <c:w val="0.20740119323406658"/>
          <c:h val="3.0941520343505891E-2"/>
        </c:manualLayout>
      </c:layout>
      <c:overlay val="0"/>
      <c:spPr>
        <a:solidFill>
          <a:srgbClr val="FFFFFF"/>
        </a:solidFill>
        <a:ln w="3175">
          <a:solidFill>
            <a:srgbClr val="000000"/>
          </a:solidFill>
          <a:prstDash val="solid"/>
        </a:ln>
      </c:spPr>
      <c:txPr>
        <a:bodyPr/>
        <a:lstStyle/>
        <a:p>
          <a:pPr>
            <a:defRPr sz="320" b="0" i="0" u="none" strike="noStrike" baseline="0">
              <a:solidFill>
                <a:srgbClr val="000000"/>
              </a:solidFill>
              <a:latin typeface="Arial"/>
              <a:ea typeface="Arial"/>
              <a:cs typeface="Arial"/>
            </a:defRPr>
          </a:pPr>
          <a:endParaRPr lang="it-IT"/>
        </a:p>
      </c:txPr>
    </c:legend>
    <c:plotVisOnly val="1"/>
    <c:dispBlanksAs val="gap"/>
    <c:showDLblsOverMax val="0"/>
  </c:chart>
  <c:spPr>
    <a:solidFill>
      <a:srgbClr val="FFFFFF"/>
    </a:solidFill>
    <a:ln w="3175">
      <a:solidFill>
        <a:srgbClr val="000000"/>
      </a:solidFill>
      <a:prstDash val="solid"/>
    </a:ln>
  </c:spPr>
  <c:txPr>
    <a:bodyPr/>
    <a:lstStyle/>
    <a:p>
      <a:pPr>
        <a:defRPr sz="1850" b="0" i="0" u="none" strike="noStrike" baseline="0">
          <a:solidFill>
            <a:srgbClr val="000000"/>
          </a:solidFill>
          <a:latin typeface="Arial"/>
          <a:ea typeface="Arial"/>
          <a:cs typeface="Arial"/>
        </a:defRPr>
      </a:pPr>
      <a:endParaRPr lang="it-IT"/>
    </a:p>
  </c:txPr>
  <c:printSettings>
    <c:headerFooter alignWithMargins="0"/>
    <c:pageMargins b="0.59055118110236227" l="0.35433070866141736" r="0.35433070866141736" t="0.59055118110236227" header="0.51181102362204722" footer="0.51181102362204722"/>
    <c:pageSetup paperSize="9" orientation="landscape" horizontalDpi="30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5019547136314373E-2"/>
          <c:y val="0.11764705882352941"/>
          <c:w val="0.86736075879843366"/>
          <c:h val="0.68449197860962563"/>
        </c:manualLayout>
      </c:layout>
      <c:lineChart>
        <c:grouping val="standard"/>
        <c:varyColors val="0"/>
        <c:ser>
          <c:idx val="0"/>
          <c:order val="0"/>
          <c:tx>
            <c:v>Km al mese</c:v>
          </c:tx>
          <c:spPr>
            <a:ln>
              <a:solidFill>
                <a:srgbClr val="FF0000"/>
              </a:solidFill>
            </a:ln>
          </c:spPr>
          <c:marker>
            <c:symbol val="none"/>
          </c:marker>
          <c:cat>
            <c:strRef>
              <c:f>Mesi!$B$2:$B$13</c:f>
              <c:strCache>
                <c:ptCount val="12"/>
                <c:pt idx="0">
                  <c:v>gennaio</c:v>
                </c:pt>
                <c:pt idx="1">
                  <c:v>febbraio</c:v>
                </c:pt>
                <c:pt idx="2">
                  <c:v>marzo</c:v>
                </c:pt>
                <c:pt idx="3">
                  <c:v>aprile</c:v>
                </c:pt>
                <c:pt idx="4">
                  <c:v>maggio</c:v>
                </c:pt>
                <c:pt idx="5">
                  <c:v>giugno</c:v>
                </c:pt>
                <c:pt idx="6">
                  <c:v>luglio</c:v>
                </c:pt>
                <c:pt idx="7">
                  <c:v>agosto</c:v>
                </c:pt>
                <c:pt idx="8">
                  <c:v>settembre</c:v>
                </c:pt>
                <c:pt idx="9">
                  <c:v>ottobre</c:v>
                </c:pt>
                <c:pt idx="10">
                  <c:v>novembre</c:v>
                </c:pt>
                <c:pt idx="11">
                  <c:v>dicembre</c:v>
                </c:pt>
              </c:strCache>
            </c:strRef>
          </c:cat>
          <c:val>
            <c:numRef>
              <c:f>Mesi!$D$2:$D$13</c:f>
              <c:numCache>
                <c:formatCode>_(* #,##0_);_(*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ser>
        <c:dLbls>
          <c:showLegendKey val="0"/>
          <c:showVal val="0"/>
          <c:showCatName val="0"/>
          <c:showSerName val="0"/>
          <c:showPercent val="0"/>
          <c:showBubbleSize val="0"/>
        </c:dLbls>
        <c:dropLines/>
        <c:marker val="1"/>
        <c:smooth val="0"/>
        <c:axId val="1462732464"/>
        <c:axId val="1462722672"/>
      </c:lineChart>
      <c:lineChart>
        <c:grouping val="standard"/>
        <c:varyColors val="0"/>
        <c:ser>
          <c:idx val="1"/>
          <c:order val="1"/>
          <c:tx>
            <c:v>seconda</c:v>
          </c:tx>
          <c:spPr>
            <a:ln w="22225">
              <a:solidFill>
                <a:schemeClr val="tx2"/>
              </a:solidFill>
            </a:ln>
          </c:spPr>
          <c:marker>
            <c:symbol val="none"/>
          </c:marker>
          <c:val>
            <c:numRef>
              <c:f>Mesi!$Z$2:$Z$13</c:f>
              <c:numCache>
                <c:formatCode>#,##0</c:formatCode>
                <c:ptCount val="12"/>
                <c:pt idx="0">
                  <c:v>62685.425485074622</c:v>
                </c:pt>
                <c:pt idx="1">
                  <c:v>62685.425485074622</c:v>
                </c:pt>
                <c:pt idx="2">
                  <c:v>62685.425485074622</c:v>
                </c:pt>
                <c:pt idx="3">
                  <c:v>62685.425485074622</c:v>
                </c:pt>
                <c:pt idx="4">
                  <c:v>62685.425485074622</c:v>
                </c:pt>
                <c:pt idx="5">
                  <c:v>62685.425485074622</c:v>
                </c:pt>
                <c:pt idx="6">
                  <c:v>62685.425485074622</c:v>
                </c:pt>
                <c:pt idx="7">
                  <c:v>62685.425485074622</c:v>
                </c:pt>
                <c:pt idx="8">
                  <c:v>62685.425485074622</c:v>
                </c:pt>
                <c:pt idx="9">
                  <c:v>62685.425485074622</c:v>
                </c:pt>
                <c:pt idx="10">
                  <c:v>62685.425485074622</c:v>
                </c:pt>
                <c:pt idx="11">
                  <c:v>62685.425485074622</c:v>
                </c:pt>
              </c:numCache>
            </c:numRef>
          </c:val>
          <c:smooth val="0"/>
        </c:ser>
        <c:dLbls>
          <c:showLegendKey val="0"/>
          <c:showVal val="0"/>
          <c:showCatName val="0"/>
          <c:showSerName val="0"/>
          <c:showPercent val="0"/>
          <c:showBubbleSize val="0"/>
        </c:dLbls>
        <c:marker val="1"/>
        <c:smooth val="0"/>
        <c:axId val="1462724848"/>
        <c:axId val="1462727024"/>
      </c:lineChart>
      <c:catAx>
        <c:axId val="146273246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it-IT"/>
          </a:p>
        </c:txPr>
        <c:crossAx val="1462722672"/>
        <c:crosses val="autoZero"/>
        <c:auto val="1"/>
        <c:lblAlgn val="ctr"/>
        <c:lblOffset val="100"/>
        <c:noMultiLvlLbl val="0"/>
      </c:catAx>
      <c:valAx>
        <c:axId val="1462722672"/>
        <c:scaling>
          <c:orientation val="minMax"/>
          <c:max val="8000"/>
        </c:scaling>
        <c:delete val="0"/>
        <c:axPos val="l"/>
        <c:majorGridlines/>
        <c:numFmt formatCode="_(* #,##0_);_(* \(#,##0\);_(* &quot;-&quot;_);_(@_)" sourceLinked="1"/>
        <c:majorTickMark val="out"/>
        <c:minorTickMark val="in"/>
        <c:tickLblPos val="nextTo"/>
        <c:txPr>
          <a:bodyPr rot="0" vert="horz"/>
          <a:lstStyle/>
          <a:p>
            <a:pPr>
              <a:defRPr sz="1000" b="0" i="0" u="none" strike="noStrike" baseline="0">
                <a:solidFill>
                  <a:srgbClr val="000000"/>
                </a:solidFill>
                <a:latin typeface="Calibri"/>
                <a:ea typeface="Calibri"/>
                <a:cs typeface="Calibri"/>
              </a:defRPr>
            </a:pPr>
            <a:endParaRPr lang="it-IT"/>
          </a:p>
        </c:txPr>
        <c:crossAx val="1462732464"/>
        <c:crosses val="autoZero"/>
        <c:crossBetween val="midCat"/>
        <c:minorUnit val="200"/>
      </c:valAx>
      <c:catAx>
        <c:axId val="1462724848"/>
        <c:scaling>
          <c:orientation val="minMax"/>
        </c:scaling>
        <c:delete val="1"/>
        <c:axPos val="b"/>
        <c:majorTickMark val="out"/>
        <c:minorTickMark val="none"/>
        <c:tickLblPos val="nextTo"/>
        <c:crossAx val="1462727024"/>
        <c:crosses val="autoZero"/>
        <c:auto val="1"/>
        <c:lblAlgn val="ctr"/>
        <c:lblOffset val="100"/>
        <c:noMultiLvlLbl val="0"/>
      </c:catAx>
      <c:valAx>
        <c:axId val="1462727024"/>
        <c:scaling>
          <c:orientation val="minMax"/>
          <c:max val="96000"/>
          <c:min val="0"/>
        </c:scaling>
        <c:delete val="0"/>
        <c:axPos val="r"/>
        <c:numFmt formatCode="#,##0" sourceLinked="1"/>
        <c:majorTickMark val="out"/>
        <c:minorTickMark val="out"/>
        <c:tickLblPos val="nextTo"/>
        <c:txPr>
          <a:bodyPr rot="0" vert="horz"/>
          <a:lstStyle/>
          <a:p>
            <a:pPr>
              <a:defRPr sz="1000" b="0" i="0" u="none" strike="noStrike" baseline="0">
                <a:solidFill>
                  <a:srgbClr val="000000"/>
                </a:solidFill>
                <a:latin typeface="Calibri"/>
                <a:ea typeface="Calibri"/>
                <a:cs typeface="Calibri"/>
              </a:defRPr>
            </a:pPr>
            <a:endParaRPr lang="it-IT"/>
          </a:p>
        </c:txPr>
        <c:crossAx val="1462724848"/>
        <c:crosses val="max"/>
        <c:crossBetween val="midCat"/>
        <c:majorUnit val="12000"/>
        <c:minorUnit val="2000"/>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it-IT"/>
    </a:p>
  </c:txPr>
  <c:printSettings>
    <c:headerFooter alignWithMargins="0"/>
    <c:pageMargins b="0.59055118110236227" l="0.35433070866141736" r="0.35433070866141736" t="0.59055118110236227" header="0.51181102362204722" footer="0.51181102362204722"/>
    <c:pageSetup paperSize="9" orientation="landscape" horizontalDpi="300"/>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416378</xdr:colOff>
      <xdr:row>32</xdr:row>
      <xdr:rowOff>131884</xdr:rowOff>
    </xdr:to>
    <xdr:graphicFrame macro="">
      <xdr:nvGraphicFramePr>
        <xdr:cNvPr id="4"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33</xdr:row>
      <xdr:rowOff>36636</xdr:rowOff>
    </xdr:from>
    <xdr:to>
      <xdr:col>15</xdr:col>
      <xdr:colOff>417634</xdr:colOff>
      <xdr:row>65</xdr:row>
      <xdr:rowOff>158996</xdr:rowOff>
    </xdr:to>
    <xdr:graphicFrame macro="">
      <xdr:nvGraphicFramePr>
        <xdr:cNvPr id="2" name="Gra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10</xdr:col>
      <xdr:colOff>495300</xdr:colOff>
      <xdr:row>14</xdr:row>
      <xdr:rowOff>103414</xdr:rowOff>
    </xdr:from>
    <xdr:to>
      <xdr:col>17</xdr:col>
      <xdr:colOff>511629</xdr:colOff>
      <xdr:row>34</xdr:row>
      <xdr:rowOff>27214</xdr:rowOff>
    </xdr:to>
    <xdr:graphicFrame macro="">
      <xdr:nvGraphicFramePr>
        <xdr:cNvPr id="1050514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58</xdr:row>
      <xdr:rowOff>27214</xdr:rowOff>
    </xdr:from>
    <xdr:to>
      <xdr:col>24</xdr:col>
      <xdr:colOff>0</xdr:colOff>
      <xdr:row>113</xdr:row>
      <xdr:rowOff>141514</xdr:rowOff>
    </xdr:to>
    <xdr:graphicFrame macro="">
      <xdr:nvGraphicFramePr>
        <xdr:cNvPr id="10505147"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32</xdr:row>
      <xdr:rowOff>10886</xdr:rowOff>
    </xdr:from>
    <xdr:to>
      <xdr:col>14</xdr:col>
      <xdr:colOff>0</xdr:colOff>
      <xdr:row>56</xdr:row>
      <xdr:rowOff>114300</xdr:rowOff>
    </xdr:to>
    <xdr:graphicFrame macro="">
      <xdr:nvGraphicFramePr>
        <xdr:cNvPr id="10505148" name="Grafico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0.97175</cdr:x>
      <cdr:y>0</cdr:y>
    </cdr:from>
    <cdr:to>
      <cdr:x>0.97349</cdr:x>
      <cdr:y>0</cdr:y>
    </cdr:to>
    <cdr:sp macro="" textlink="">
      <cdr:nvSpPr>
        <cdr:cNvPr id="2" name="CasellaDiTesto 1"/>
        <cdr:cNvSpPr txBox="1"/>
      </cdr:nvSpPr>
      <cdr:spPr>
        <a:xfrm xmlns:a="http://schemas.openxmlformats.org/drawingml/2006/main">
          <a:off x="8953501" y="0"/>
          <a:ext cx="712303" cy="20582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1100"/>
            <a:t>Km</a:t>
          </a:r>
          <a:r>
            <a:rPr lang="it-IT" sz="1100" baseline="0"/>
            <a:t> mese</a:t>
          </a:r>
          <a:endParaRPr lang="it-IT" sz="1100"/>
        </a:p>
      </cdr:txBody>
    </cdr:sp>
  </cdr:relSizeAnchor>
  <cdr:relSizeAnchor xmlns:cdr="http://schemas.openxmlformats.org/drawingml/2006/chartDrawing">
    <cdr:from>
      <cdr:x>0</cdr:x>
      <cdr:y>0</cdr:y>
    </cdr:from>
    <cdr:to>
      <cdr:x>0</cdr:x>
      <cdr:y>0</cdr:y>
    </cdr:to>
    <cdr:sp macro="" textlink="">
      <cdr:nvSpPr>
        <cdr:cNvPr id="3" name="CasellaDiTesto 2"/>
        <cdr:cNvSpPr txBox="1"/>
      </cdr:nvSpPr>
      <cdr:spPr>
        <a:xfrm xmlns:a="http://schemas.openxmlformats.org/drawingml/2006/main">
          <a:off x="2688" y="2110"/>
          <a:ext cx="850397" cy="22326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1100"/>
            <a:t>Km</a:t>
          </a:r>
          <a:r>
            <a:rPr lang="it-IT" sz="1100" baseline="0"/>
            <a:t> anno</a:t>
          </a:r>
          <a:endParaRPr lang="it-IT" sz="1100"/>
        </a:p>
      </cdr:txBody>
    </cdr:sp>
  </cdr:relSizeAnchor>
</c:userShapes>
</file>

<file path=xl/drawings/drawing4.xml><?xml version="1.0" encoding="utf-8"?>
<c:userShapes xmlns:c="http://schemas.openxmlformats.org/drawingml/2006/chart">
  <cdr:relSizeAnchor xmlns:cdr="http://schemas.openxmlformats.org/drawingml/2006/chartDrawing">
    <cdr:from>
      <cdr:x>0.00357</cdr:x>
      <cdr:y>0.00472</cdr:y>
    </cdr:from>
    <cdr:to>
      <cdr:x>0.11304</cdr:x>
      <cdr:y>0.07726</cdr:y>
    </cdr:to>
    <cdr:sp macro="" textlink="">
      <cdr:nvSpPr>
        <cdr:cNvPr id="2" name="CasellaDiTesto 1"/>
        <cdr:cNvSpPr txBox="1"/>
      </cdr:nvSpPr>
      <cdr:spPr>
        <a:xfrm xmlns:a="http://schemas.openxmlformats.org/drawingml/2006/main">
          <a:off x="24359" y="18057"/>
          <a:ext cx="835790" cy="25526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1100"/>
            <a:t>Km</a:t>
          </a:r>
          <a:r>
            <a:rPr lang="it-IT" sz="1100" baseline="0"/>
            <a:t> al mese</a:t>
          </a:r>
          <a:endParaRPr lang="it-IT" sz="1100"/>
        </a:p>
      </cdr:txBody>
    </cdr:sp>
  </cdr:relSizeAnchor>
  <cdr:relSizeAnchor xmlns:cdr="http://schemas.openxmlformats.org/drawingml/2006/chartDrawing">
    <cdr:from>
      <cdr:x>0.86687</cdr:x>
      <cdr:y>0.00554</cdr:y>
    </cdr:from>
    <cdr:to>
      <cdr:x>0.99632</cdr:x>
      <cdr:y>0.07223</cdr:y>
    </cdr:to>
    <cdr:sp macro="" textlink="">
      <cdr:nvSpPr>
        <cdr:cNvPr id="3" name="CasellaDiTesto 2"/>
        <cdr:cNvSpPr txBox="1"/>
      </cdr:nvSpPr>
      <cdr:spPr>
        <a:xfrm xmlns:a="http://schemas.openxmlformats.org/drawingml/2006/main">
          <a:off x="6334954" y="21043"/>
          <a:ext cx="977030" cy="23571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1100"/>
            <a:t>Km</a:t>
          </a:r>
          <a:r>
            <a:rPr lang="it-IT" sz="1100" baseline="0"/>
            <a:t> all'anno</a:t>
          </a:r>
          <a:endParaRPr lang="it-IT" sz="1100"/>
        </a:p>
      </cdr:txBody>
    </cdr:sp>
  </cdr:relSizeAnchor>
</c:userShapes>
</file>

<file path=xl/tables/table1.xml><?xml version="1.0" encoding="utf-8"?>
<table xmlns="http://schemas.openxmlformats.org/spreadsheetml/2006/main" id="6" name="Tabella6" displayName="Tabella6" ref="B121:N123" totalsRowCount="1" headerRowDxfId="27" headerRowBorderDxfId="26" tableBorderDxfId="25">
  <autoFilter ref="B121:N122"/>
  <tableColumns count="13">
    <tableColumn id="1" name="data" dataDxfId="24" totalsRowDxfId="23"/>
    <tableColumn id="2" name="km" dataDxfId="22" totalsRowDxfId="21"/>
    <tableColumn id="3" name="km+1%" dataDxfId="20" totalsRowDxfId="19"/>
    <tableColumn id="4" name="d km" totalsRowFunction="custom" dataDxfId="18" totalsRowDxfId="17">
      <calculatedColumnFormula>MAX(E3:E81,E83:E121)</calculatedColumnFormula>
      <totalsRowFormula>MIN(E3:E81,E83:E121)</totalsRowFormula>
    </tableColumn>
    <tableColumn id="5" name="l" totalsRowFunction="custom" dataDxfId="16" totalsRowDxfId="15">
      <calculatedColumnFormula>MAX(F3:F81,F83:F121)</calculatedColumnFormula>
      <totalsRowFormula>MIN(F3:F81,F83:F121)</totalsRowFormula>
    </tableColumn>
    <tableColumn id="6" name="strum." dataDxfId="14" totalsRowDxfId="13"/>
    <tableColumn id="7" name="km/l" totalsRowFunction="custom" dataDxfId="12" totalsRowDxfId="11">
      <calculatedColumnFormula>MAX(H3:H121)</calculatedColumnFormula>
      <totalsRowFormula>MIN(H3:H121)</totalsRowFormula>
    </tableColumn>
    <tableColumn id="8" name="km/l T" dataDxfId="10" totalsRowDxfId="9"/>
    <tableColumn id="9" name="€" totalsRowFunction="custom" totalsRowDxfId="8">
      <calculatedColumnFormula>MIN(J3:J121)</calculatedColumnFormula>
      <totalsRowFormula>MAX(J3:J121)</totalsRowFormula>
    </tableColumn>
    <tableColumn id="10" name="€/l" totalsRowFunction="custom" dataDxfId="7" totalsRowDxfId="6" dataCellStyle="Migliaia [0]">
      <calculatedColumnFormula>MIN(K3:K121)</calculatedColumnFormula>
      <totalsRowFormula>MAX(K3:K121)</totalsRowFormula>
    </tableColumn>
    <tableColumn id="11" name="cent/km" dataDxfId="5" totalsRowDxfId="4"/>
    <tableColumn id="12" name="staz." dataDxfId="3" totalsRowDxfId="2"/>
    <tableColumn id="13" name="note (dal 24.3.2018 ore 13)" dataDxfId="1" totalsRowDxfId="0"/>
  </tableColumns>
  <tableStyleInfo name="TableStyleMedium9" showFirstColumn="0" showLastColumn="0" showRowStripes="1" showColumnStripes="0"/>
</table>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wrap="none" lIns="18288" tIns="0" rIns="0" bIns="0" upright="1">
        <a:spAutoFit/>
      </a:bodyPr>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wrap="none" lIns="18288" tIns="0" rIns="0" bIns="0" upright="1">
        <a:spAutoFit/>
      </a:bodyPr>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3"/>
  <sheetViews>
    <sheetView tabSelected="1" zoomScale="145" zoomScaleNormal="145" workbookViewId="0">
      <pane ySplit="737" topLeftCell="A61" activePane="bottomLeft"/>
      <selection activeCell="K1" sqref="K1:K1048576"/>
      <selection pane="bottomLeft" activeCell="Q75" sqref="Q75"/>
    </sheetView>
  </sheetViews>
  <sheetFormatPr defaultColWidth="9.15234375" defaultRowHeight="12.45" x14ac:dyDescent="0.3"/>
  <cols>
    <col min="1" max="1" width="4.15234375" style="366" customWidth="1"/>
    <col min="2" max="2" width="8.15234375" style="366" customWidth="1"/>
    <col min="3" max="4" width="6.84375" style="231" customWidth="1"/>
    <col min="5" max="5" width="4.3828125" style="386" customWidth="1"/>
    <col min="6" max="6" width="5.53515625" style="366" customWidth="1"/>
    <col min="7" max="7" width="5.3046875" style="366" customWidth="1"/>
    <col min="8" max="8" width="5.53515625" style="366" customWidth="1"/>
    <col min="9" max="9" width="6.15234375" style="366" customWidth="1"/>
    <col min="10" max="10" width="6.69140625" style="387" customWidth="1"/>
    <col min="11" max="11" width="6.3046875" style="388" customWidth="1"/>
    <col min="12" max="12" width="5.69140625" style="366" customWidth="1"/>
    <col min="13" max="13" width="7" style="28" customWidth="1"/>
    <col min="14" max="14" width="22" style="324" customWidth="1"/>
    <col min="15" max="15" width="8.69140625" style="239" customWidth="1"/>
    <col min="16" max="16" width="8.53515625" style="239" bestFit="1" customWidth="1"/>
    <col min="17" max="17" width="11.3046875" style="239" bestFit="1" customWidth="1"/>
    <col min="18" max="18" width="7" style="239" bestFit="1" customWidth="1"/>
    <col min="19" max="19" width="4" style="239" customWidth="1"/>
    <col min="20" max="20" width="5.53515625" style="239" customWidth="1"/>
    <col min="21" max="16384" width="9.15234375" style="239"/>
  </cols>
  <sheetData>
    <row r="1" spans="1:17" x14ac:dyDescent="0.3">
      <c r="A1" s="361"/>
      <c r="B1" s="362" t="s">
        <v>9</v>
      </c>
      <c r="C1" s="325" t="s">
        <v>10</v>
      </c>
      <c r="D1" s="325" t="s">
        <v>103</v>
      </c>
      <c r="E1" s="363" t="s">
        <v>11</v>
      </c>
      <c r="F1" s="321" t="s">
        <v>12</v>
      </c>
      <c r="G1" s="321" t="s">
        <v>95</v>
      </c>
      <c r="H1" s="321" t="s">
        <v>8</v>
      </c>
      <c r="I1" s="321" t="s">
        <v>13</v>
      </c>
      <c r="J1" s="364" t="s">
        <v>51</v>
      </c>
      <c r="K1" s="365" t="s">
        <v>52</v>
      </c>
      <c r="L1" s="319" t="s">
        <v>92</v>
      </c>
      <c r="M1" s="26" t="s">
        <v>14</v>
      </c>
      <c r="N1" s="326" t="s">
        <v>104</v>
      </c>
    </row>
    <row r="2" spans="1:17" x14ac:dyDescent="0.3">
      <c r="B2" s="367">
        <v>43183</v>
      </c>
      <c r="C2" s="226">
        <v>9</v>
      </c>
      <c r="D2" s="226">
        <f t="shared" ref="D2:D33" si="0">+C2*1.01</f>
        <v>9.09</v>
      </c>
      <c r="E2" s="368" t="s">
        <v>15</v>
      </c>
      <c r="F2" s="316" t="s">
        <v>90</v>
      </c>
      <c r="G2" s="316"/>
      <c r="H2" s="316" t="s">
        <v>15</v>
      </c>
      <c r="I2" s="316" t="s">
        <v>15</v>
      </c>
      <c r="J2" s="317" t="s">
        <v>91</v>
      </c>
      <c r="K2" s="317" t="s">
        <v>91</v>
      </c>
      <c r="L2" s="316" t="s">
        <v>15</v>
      </c>
      <c r="M2" s="27"/>
      <c r="N2" s="303" t="s">
        <v>156</v>
      </c>
      <c r="P2" s="369"/>
      <c r="Q2" s="236"/>
    </row>
    <row r="3" spans="1:17" x14ac:dyDescent="0.3">
      <c r="A3" s="366">
        <v>1</v>
      </c>
      <c r="B3" s="367">
        <v>43183</v>
      </c>
      <c r="C3" s="226">
        <v>357</v>
      </c>
      <c r="D3" s="226">
        <f t="shared" si="0"/>
        <v>360.57</v>
      </c>
      <c r="E3" s="231">
        <f t="shared" ref="E3:E34" si="1">+D3-D2</f>
        <v>351.48</v>
      </c>
      <c r="F3" s="344">
        <f t="shared" ref="F3:F34" si="2">+J3/K3</f>
        <v>18.699132755170112</v>
      </c>
      <c r="G3" s="323">
        <v>18.600000000000001</v>
      </c>
      <c r="H3" s="240">
        <f t="shared" ref="H3:H34" si="3">+E3/F3</f>
        <v>18.79659364966108</v>
      </c>
      <c r="I3" s="370">
        <f>+(D3-D$2)/SUM($F$3:F3)</f>
        <v>18.79659364966108</v>
      </c>
      <c r="J3" s="237">
        <v>28.03</v>
      </c>
      <c r="K3" s="232">
        <v>1.4990000000000001</v>
      </c>
      <c r="L3" s="318">
        <f t="shared" ref="L3:L34" si="4">+K3/I3*100</f>
        <v>7.9748492090588359</v>
      </c>
      <c r="M3" s="27" t="s">
        <v>89</v>
      </c>
      <c r="N3" s="303" t="s">
        <v>28</v>
      </c>
      <c r="P3" s="369"/>
      <c r="Q3" s="236"/>
    </row>
    <row r="4" spans="1:17" ht="12.9" x14ac:dyDescent="0.35">
      <c r="A4" s="371">
        <v>2</v>
      </c>
      <c r="B4" s="372">
        <v>43188</v>
      </c>
      <c r="C4" s="337">
        <v>600</v>
      </c>
      <c r="D4" s="373">
        <f t="shared" si="0"/>
        <v>606</v>
      </c>
      <c r="E4" s="329">
        <f t="shared" si="1"/>
        <v>245.43</v>
      </c>
      <c r="F4" s="374">
        <f t="shared" si="2"/>
        <v>17.280701754385966</v>
      </c>
      <c r="G4" s="338">
        <v>14.2</v>
      </c>
      <c r="H4" s="331">
        <f t="shared" si="3"/>
        <v>14.202548223350254</v>
      </c>
      <c r="I4" s="375">
        <f>+(D4-D$2)/SUM($F$3:F4)</f>
        <v>16.590126334279372</v>
      </c>
      <c r="J4" s="332">
        <v>25.61</v>
      </c>
      <c r="K4" s="339">
        <v>1.482</v>
      </c>
      <c r="L4" s="330">
        <f t="shared" si="4"/>
        <v>8.9330241984825367</v>
      </c>
      <c r="M4" s="340" t="s">
        <v>154</v>
      </c>
      <c r="N4" s="341" t="s">
        <v>93</v>
      </c>
      <c r="P4" s="369"/>
      <c r="Q4" s="236"/>
    </row>
    <row r="5" spans="1:17" x14ac:dyDescent="0.3">
      <c r="A5" s="366">
        <v>3</v>
      </c>
      <c r="B5" s="367">
        <v>43193</v>
      </c>
      <c r="C5" s="226">
        <v>861</v>
      </c>
      <c r="D5" s="226">
        <f t="shared" si="0"/>
        <v>869.61</v>
      </c>
      <c r="E5" s="231">
        <f t="shared" si="1"/>
        <v>263.61</v>
      </c>
      <c r="F5" s="344">
        <f t="shared" si="2"/>
        <v>17.298198799199465</v>
      </c>
      <c r="G5" s="323">
        <v>15.2</v>
      </c>
      <c r="H5" s="240">
        <f t="shared" si="3"/>
        <v>15.239158889317395</v>
      </c>
      <c r="I5" s="370">
        <f>+(D5-D$2)/SUM($F$3:F5)</f>
        <v>16.151497090989373</v>
      </c>
      <c r="J5" s="237">
        <v>25.93</v>
      </c>
      <c r="K5" s="232">
        <v>1.4990000000000001</v>
      </c>
      <c r="L5" s="318">
        <f t="shared" si="4"/>
        <v>9.2808734172157017</v>
      </c>
      <c r="M5" s="27" t="s">
        <v>89</v>
      </c>
      <c r="N5" s="303" t="s">
        <v>93</v>
      </c>
      <c r="P5" s="369"/>
      <c r="Q5" s="236"/>
    </row>
    <row r="6" spans="1:17" ht="12.9" x14ac:dyDescent="0.35">
      <c r="A6" s="366">
        <v>4</v>
      </c>
      <c r="B6" s="367">
        <v>43194</v>
      </c>
      <c r="C6" s="231">
        <v>900</v>
      </c>
      <c r="D6" s="226">
        <f t="shared" si="0"/>
        <v>909</v>
      </c>
      <c r="E6" s="231">
        <f t="shared" si="1"/>
        <v>39.389999999999986</v>
      </c>
      <c r="F6" s="344">
        <f t="shared" si="2"/>
        <v>1.9620667102681493</v>
      </c>
      <c r="G6" s="322">
        <v>18.5</v>
      </c>
      <c r="H6" s="240">
        <f t="shared" si="3"/>
        <v>20.075769999999991</v>
      </c>
      <c r="I6" s="370">
        <f>+(D6-D$2)/SUM($F$3:F6)</f>
        <v>16.290882885622715</v>
      </c>
      <c r="J6" s="237">
        <v>3</v>
      </c>
      <c r="K6" s="232">
        <v>1.5289999999999999</v>
      </c>
      <c r="L6" s="320">
        <f t="shared" si="4"/>
        <v>9.3856177761206361</v>
      </c>
      <c r="M6" s="28" t="s">
        <v>94</v>
      </c>
    </row>
    <row r="7" spans="1:17" x14ac:dyDescent="0.3">
      <c r="A7" s="366">
        <v>5</v>
      </c>
      <c r="B7" s="367">
        <v>43194</v>
      </c>
      <c r="C7" s="231">
        <v>915</v>
      </c>
      <c r="D7" s="226">
        <f t="shared" si="0"/>
        <v>924.15</v>
      </c>
      <c r="E7" s="231">
        <f t="shared" si="1"/>
        <v>15.149999999999977</v>
      </c>
      <c r="F7" s="344">
        <f t="shared" si="2"/>
        <v>1.0388782664117271</v>
      </c>
      <c r="G7" s="323">
        <v>16.600000000000001</v>
      </c>
      <c r="H7" s="240">
        <f t="shared" si="3"/>
        <v>14.583036809815932</v>
      </c>
      <c r="I7" s="370">
        <f>+(D7-D$2)/SUM($F$3:F7)</f>
        <v>16.259357008206575</v>
      </c>
      <c r="J7" s="237">
        <v>1.63</v>
      </c>
      <c r="K7" s="232">
        <v>1.569</v>
      </c>
      <c r="L7" s="320">
        <f t="shared" si="4"/>
        <v>9.6498280910375467</v>
      </c>
      <c r="M7" s="28" t="s">
        <v>96</v>
      </c>
    </row>
    <row r="8" spans="1:17" x14ac:dyDescent="0.3">
      <c r="A8" s="366">
        <v>6</v>
      </c>
      <c r="B8" s="367">
        <v>43197</v>
      </c>
      <c r="C8" s="231">
        <v>953</v>
      </c>
      <c r="D8" s="226">
        <f t="shared" si="0"/>
        <v>962.53</v>
      </c>
      <c r="E8" s="231">
        <f t="shared" si="1"/>
        <v>38.379999999999995</v>
      </c>
      <c r="F8" s="344">
        <f t="shared" si="2"/>
        <v>3.3289731850882931</v>
      </c>
      <c r="G8" s="323">
        <v>11.5</v>
      </c>
      <c r="H8" s="240">
        <f t="shared" si="3"/>
        <v>11.529080550098231</v>
      </c>
      <c r="I8" s="370">
        <f>+(D8-D$2)/SUM($F$3:F8)</f>
        <v>15.995181456143122</v>
      </c>
      <c r="J8" s="237">
        <v>5.09</v>
      </c>
      <c r="K8" s="232">
        <v>1.5289999999999999</v>
      </c>
      <c r="L8" s="320">
        <f t="shared" si="4"/>
        <v>9.5591288175900679</v>
      </c>
      <c r="M8" s="28" t="s">
        <v>97</v>
      </c>
      <c r="N8" s="324" t="s">
        <v>100</v>
      </c>
    </row>
    <row r="9" spans="1:17" x14ac:dyDescent="0.3">
      <c r="A9" s="366">
        <v>7</v>
      </c>
      <c r="B9" s="367">
        <v>43197</v>
      </c>
      <c r="C9" s="231">
        <v>1339</v>
      </c>
      <c r="D9" s="226">
        <f t="shared" si="0"/>
        <v>1352.39</v>
      </c>
      <c r="E9" s="231">
        <f t="shared" si="1"/>
        <v>389.86000000000013</v>
      </c>
      <c r="F9" s="344">
        <f t="shared" si="2"/>
        <v>20.660744031093838</v>
      </c>
      <c r="G9" s="323">
        <v>18.899999999999999</v>
      </c>
      <c r="H9" s="240">
        <f t="shared" si="3"/>
        <v>18.869601182477833</v>
      </c>
      <c r="I9" s="370">
        <f>+(D9-D$2)/SUM($F$3:F9)</f>
        <v>16.735042118292935</v>
      </c>
      <c r="J9" s="237">
        <v>37.21</v>
      </c>
      <c r="K9" s="232">
        <v>1.8009999999999999</v>
      </c>
      <c r="L9" s="320">
        <f t="shared" si="4"/>
        <v>10.761849221946933</v>
      </c>
      <c r="M9" s="28" t="s">
        <v>98</v>
      </c>
      <c r="N9" s="324" t="s">
        <v>99</v>
      </c>
    </row>
    <row r="10" spans="1:17" x14ac:dyDescent="0.3">
      <c r="A10" s="366">
        <v>8</v>
      </c>
      <c r="B10" s="367">
        <v>43197</v>
      </c>
      <c r="C10" s="231">
        <v>1649</v>
      </c>
      <c r="D10" s="226">
        <f t="shared" si="0"/>
        <v>1665.49</v>
      </c>
      <c r="E10" s="231">
        <f t="shared" si="1"/>
        <v>313.09999999999991</v>
      </c>
      <c r="F10" s="344">
        <f t="shared" si="2"/>
        <v>15.416944629753168</v>
      </c>
      <c r="G10" s="323">
        <v>19.899999999999999</v>
      </c>
      <c r="H10" s="240">
        <f t="shared" si="3"/>
        <v>20.308823020337513</v>
      </c>
      <c r="I10" s="370">
        <f>+(D10-D$2)/SUM($F$3:F10)</f>
        <v>17.310852471968218</v>
      </c>
      <c r="J10" s="237">
        <v>23.11</v>
      </c>
      <c r="K10" s="232">
        <v>1.4990000000000001</v>
      </c>
      <c r="L10" s="320">
        <f t="shared" si="4"/>
        <v>8.6593078095221383</v>
      </c>
      <c r="M10" s="28" t="s">
        <v>89</v>
      </c>
    </row>
    <row r="11" spans="1:17" x14ac:dyDescent="0.3">
      <c r="A11" s="366">
        <v>9</v>
      </c>
      <c r="B11" s="367">
        <v>43203</v>
      </c>
      <c r="C11" s="231">
        <v>1907</v>
      </c>
      <c r="D11" s="226">
        <f t="shared" si="0"/>
        <v>1926.07</v>
      </c>
      <c r="E11" s="231">
        <f t="shared" si="1"/>
        <v>260.57999999999993</v>
      </c>
      <c r="F11" s="344">
        <f t="shared" si="2"/>
        <v>18.098732488325549</v>
      </c>
      <c r="G11" s="323">
        <v>14.5</v>
      </c>
      <c r="H11" s="240">
        <f t="shared" si="3"/>
        <v>14.397693328418722</v>
      </c>
      <c r="I11" s="370">
        <f>+(D11-D$2)/SUM($F$3:F11)</f>
        <v>16.847480509534993</v>
      </c>
      <c r="J11" s="237">
        <v>27.13</v>
      </c>
      <c r="K11" s="232">
        <v>1.4990000000000001</v>
      </c>
      <c r="L11" s="320">
        <f t="shared" si="4"/>
        <v>8.8974728248038435</v>
      </c>
      <c r="M11" s="28" t="s">
        <v>89</v>
      </c>
      <c r="N11" s="324" t="s">
        <v>93</v>
      </c>
    </row>
    <row r="12" spans="1:17" x14ac:dyDescent="0.3">
      <c r="A12" s="366">
        <v>10</v>
      </c>
      <c r="B12" s="367">
        <v>43205</v>
      </c>
      <c r="C12" s="231">
        <v>2175</v>
      </c>
      <c r="D12" s="226">
        <f t="shared" si="0"/>
        <v>2196.75</v>
      </c>
      <c r="E12" s="231">
        <f t="shared" si="1"/>
        <v>270.68000000000006</v>
      </c>
      <c r="F12" s="344">
        <f t="shared" si="2"/>
        <v>15.621657754010696</v>
      </c>
      <c r="G12" s="323">
        <v>17.3</v>
      </c>
      <c r="H12" s="240">
        <f t="shared" si="3"/>
        <v>17.327226358579377</v>
      </c>
      <c r="I12" s="370">
        <f>+(D12-D$2)/SUM($F$3:F12)</f>
        <v>16.905394545233605</v>
      </c>
      <c r="J12" s="237">
        <v>23.37</v>
      </c>
      <c r="K12" s="232">
        <v>1.496</v>
      </c>
      <c r="L12" s="320">
        <f t="shared" si="4"/>
        <v>8.8492462923427606</v>
      </c>
      <c r="M12" s="28" t="s">
        <v>154</v>
      </c>
    </row>
    <row r="13" spans="1:17" x14ac:dyDescent="0.3">
      <c r="A13" s="366">
        <v>11</v>
      </c>
      <c r="B13" s="367">
        <v>43211</v>
      </c>
      <c r="C13" s="231">
        <v>2413</v>
      </c>
      <c r="D13" s="226">
        <f t="shared" si="0"/>
        <v>2437.13</v>
      </c>
      <c r="E13" s="231">
        <f t="shared" si="1"/>
        <v>240.38000000000011</v>
      </c>
      <c r="F13" s="344">
        <f t="shared" si="2"/>
        <v>16.711051930758988</v>
      </c>
      <c r="G13" s="323">
        <v>14.5</v>
      </c>
      <c r="H13" s="240">
        <f t="shared" si="3"/>
        <v>14.384492430278891</v>
      </c>
      <c r="I13" s="370">
        <f>+(D13-D$2)/SUM($F$3:F13)</f>
        <v>16.61708516010923</v>
      </c>
      <c r="J13" s="237">
        <v>25.1</v>
      </c>
      <c r="K13" s="232">
        <v>1.502</v>
      </c>
      <c r="L13" s="320">
        <f t="shared" si="4"/>
        <v>9.0388897061542579</v>
      </c>
      <c r="M13" s="28" t="s">
        <v>101</v>
      </c>
    </row>
    <row r="14" spans="1:17" x14ac:dyDescent="0.3">
      <c r="A14" s="366">
        <v>12</v>
      </c>
      <c r="B14" s="367">
        <v>43211</v>
      </c>
      <c r="C14" s="231">
        <v>2560</v>
      </c>
      <c r="D14" s="226">
        <f t="shared" si="0"/>
        <v>2585.6</v>
      </c>
      <c r="E14" s="231">
        <f t="shared" si="1"/>
        <v>148.4699999999998</v>
      </c>
      <c r="F14" s="344">
        <f t="shared" si="2"/>
        <v>8.5894876912840985</v>
      </c>
      <c r="G14" s="323">
        <v>16.8</v>
      </c>
      <c r="H14" s="240">
        <f t="shared" si="3"/>
        <v>17.285082106893856</v>
      </c>
      <c r="I14" s="370">
        <f>+(D14-D$2)/SUM($F$3:F14)</f>
        <v>16.654173123163286</v>
      </c>
      <c r="J14" s="237">
        <v>12.91</v>
      </c>
      <c r="K14" s="232">
        <v>1.5029999999999999</v>
      </c>
      <c r="L14" s="320">
        <f t="shared" si="4"/>
        <v>9.0247650777063662</v>
      </c>
      <c r="M14" s="28" t="s">
        <v>154</v>
      </c>
      <c r="N14" s="328"/>
    </row>
    <row r="15" spans="1:17" x14ac:dyDescent="0.3">
      <c r="A15" s="366">
        <v>13</v>
      </c>
      <c r="B15" s="367">
        <v>43212</v>
      </c>
      <c r="C15" s="231">
        <v>2680</v>
      </c>
      <c r="D15" s="226">
        <f t="shared" si="0"/>
        <v>2706.8</v>
      </c>
      <c r="E15" s="231">
        <f t="shared" si="1"/>
        <v>121.20000000000027</v>
      </c>
      <c r="F15" s="344">
        <f t="shared" si="2"/>
        <v>6.4980026631158454</v>
      </c>
      <c r="G15" s="323">
        <v>18.7</v>
      </c>
      <c r="H15" s="240">
        <f t="shared" si="3"/>
        <v>18.651885245901681</v>
      </c>
      <c r="I15" s="370">
        <f>+(D15-D$2)/SUM($F$3:F15)</f>
        <v>16.734698994604681</v>
      </c>
      <c r="J15" s="237">
        <v>9.76</v>
      </c>
      <c r="K15" s="232">
        <v>1.502</v>
      </c>
      <c r="L15" s="320">
        <f t="shared" si="4"/>
        <v>8.9753631092154667</v>
      </c>
      <c r="M15" s="28" t="s">
        <v>101</v>
      </c>
    </row>
    <row r="16" spans="1:17" x14ac:dyDescent="0.3">
      <c r="A16" s="366">
        <v>14</v>
      </c>
      <c r="B16" s="367">
        <v>43213</v>
      </c>
      <c r="C16" s="231">
        <v>3033</v>
      </c>
      <c r="D16" s="226">
        <f t="shared" si="0"/>
        <v>3063.33</v>
      </c>
      <c r="E16" s="231">
        <f t="shared" si="1"/>
        <v>356.52999999999975</v>
      </c>
      <c r="F16" s="344">
        <f t="shared" si="2"/>
        <v>18.609447771124419</v>
      </c>
      <c r="G16" s="323">
        <v>19.100000000000001</v>
      </c>
      <c r="H16" s="240">
        <f t="shared" si="3"/>
        <v>19.158548087236309</v>
      </c>
      <c r="I16" s="370">
        <f>+(D16-D$2)/SUM($F$3:F16)</f>
        <v>16.985549806941517</v>
      </c>
      <c r="J16" s="237">
        <v>27.97</v>
      </c>
      <c r="K16" s="232">
        <v>1.5029999999999999</v>
      </c>
      <c r="L16" s="320">
        <f t="shared" si="4"/>
        <v>8.8486979643471191</v>
      </c>
      <c r="M16" s="28" t="s">
        <v>154</v>
      </c>
      <c r="N16" s="324" t="s">
        <v>102</v>
      </c>
    </row>
    <row r="17" spans="1:14" x14ac:dyDescent="0.3">
      <c r="A17" s="366">
        <v>15</v>
      </c>
      <c r="B17" s="367">
        <v>43214</v>
      </c>
      <c r="C17" s="231">
        <v>3405</v>
      </c>
      <c r="D17" s="226">
        <f t="shared" si="0"/>
        <v>3439.05</v>
      </c>
      <c r="E17" s="231">
        <f t="shared" si="1"/>
        <v>375.72000000000025</v>
      </c>
      <c r="F17" s="344">
        <f t="shared" si="2"/>
        <v>19.760855884203902</v>
      </c>
      <c r="G17" s="323">
        <v>18.899999999999999</v>
      </c>
      <c r="H17" s="240">
        <f t="shared" si="3"/>
        <v>19.013346496815299</v>
      </c>
      <c r="I17" s="370">
        <f>+(D17-D$2)/SUM($F$3:F17)</f>
        <v>17.186331583140525</v>
      </c>
      <c r="J17" s="237">
        <v>31.4</v>
      </c>
      <c r="K17" s="232">
        <v>1.589</v>
      </c>
      <c r="L17" s="320">
        <f t="shared" si="4"/>
        <v>9.2457194388055424</v>
      </c>
      <c r="M17" s="28" t="s">
        <v>105</v>
      </c>
      <c r="N17" s="324" t="s">
        <v>131</v>
      </c>
    </row>
    <row r="18" spans="1:14" x14ac:dyDescent="0.3">
      <c r="A18" s="371">
        <v>16</v>
      </c>
      <c r="B18" s="372">
        <v>43215</v>
      </c>
      <c r="C18" s="329">
        <v>3767</v>
      </c>
      <c r="D18" s="337">
        <f t="shared" si="0"/>
        <v>3804.67</v>
      </c>
      <c r="E18" s="329">
        <f t="shared" si="1"/>
        <v>365.61999999999989</v>
      </c>
      <c r="F18" s="374">
        <f t="shared" si="2"/>
        <v>19.0313961255845</v>
      </c>
      <c r="G18" s="336">
        <v>19.2</v>
      </c>
      <c r="H18" s="331">
        <f t="shared" si="3"/>
        <v>19.211412425412423</v>
      </c>
      <c r="I18" s="375">
        <f>+(D18-D$2)/SUM($F$3:F18)</f>
        <v>17.362630804866772</v>
      </c>
      <c r="J18" s="332">
        <v>28.49</v>
      </c>
      <c r="K18" s="339">
        <v>1.4970000000000001</v>
      </c>
      <c r="L18" s="333">
        <f t="shared" si="4"/>
        <v>8.6219652817843073</v>
      </c>
      <c r="M18" s="334" t="s">
        <v>101</v>
      </c>
      <c r="N18" s="335" t="s">
        <v>132</v>
      </c>
    </row>
    <row r="19" spans="1:14" x14ac:dyDescent="0.3">
      <c r="A19" s="366">
        <v>17</v>
      </c>
      <c r="B19" s="367">
        <v>43223</v>
      </c>
      <c r="C19" s="231">
        <v>4124</v>
      </c>
      <c r="D19" s="226">
        <f t="shared" si="0"/>
        <v>4165.24</v>
      </c>
      <c r="E19" s="231">
        <f t="shared" si="1"/>
        <v>360.56999999999971</v>
      </c>
      <c r="F19" s="344">
        <f t="shared" si="2"/>
        <v>19.394736842105264</v>
      </c>
      <c r="G19" s="323">
        <v>18.7</v>
      </c>
      <c r="H19" s="240">
        <f t="shared" si="3"/>
        <v>18.591126187245575</v>
      </c>
      <c r="I19" s="370">
        <f>+(D19-D$2)/SUM($F$3:F19)</f>
        <v>17.462741072150383</v>
      </c>
      <c r="J19" s="237">
        <v>29.48</v>
      </c>
      <c r="K19" s="232">
        <v>1.52</v>
      </c>
      <c r="L19" s="320">
        <f t="shared" si="4"/>
        <v>8.7042463363560909</v>
      </c>
      <c r="M19" s="28" t="s">
        <v>106</v>
      </c>
      <c r="N19" s="324" t="s">
        <v>107</v>
      </c>
    </row>
    <row r="20" spans="1:14" x14ac:dyDescent="0.3">
      <c r="A20" s="366">
        <v>18</v>
      </c>
      <c r="B20" s="367">
        <v>43224</v>
      </c>
      <c r="C20" s="231">
        <v>4464</v>
      </c>
      <c r="D20" s="226">
        <f t="shared" si="0"/>
        <v>4508.6400000000003</v>
      </c>
      <c r="E20" s="231">
        <f t="shared" si="1"/>
        <v>343.40000000000055</v>
      </c>
      <c r="F20" s="344">
        <f t="shared" si="2"/>
        <v>19.361179361179364</v>
      </c>
      <c r="G20" s="323">
        <v>17.5</v>
      </c>
      <c r="H20" s="240">
        <f t="shared" si="3"/>
        <v>17.736522842639619</v>
      </c>
      <c r="I20" s="370">
        <f>+(D20-D$2)/SUM($F$3:F20)</f>
        <v>17.483337485291766</v>
      </c>
      <c r="J20" s="237">
        <v>31.52</v>
      </c>
      <c r="K20" s="232">
        <v>1.6279999999999999</v>
      </c>
      <c r="L20" s="320">
        <f t="shared" si="4"/>
        <v>9.3117232414554127</v>
      </c>
      <c r="M20" s="28" t="s">
        <v>108</v>
      </c>
      <c r="N20" s="324" t="s">
        <v>107</v>
      </c>
    </row>
    <row r="21" spans="1:14" x14ac:dyDescent="0.3">
      <c r="A21" s="366">
        <v>19</v>
      </c>
      <c r="B21" s="367">
        <v>43224</v>
      </c>
      <c r="C21" s="231">
        <v>4623</v>
      </c>
      <c r="D21" s="226">
        <f t="shared" si="0"/>
        <v>4669.2300000000005</v>
      </c>
      <c r="E21" s="231">
        <f t="shared" si="1"/>
        <v>160.59000000000015</v>
      </c>
      <c r="F21" s="344">
        <f t="shared" si="2"/>
        <v>10</v>
      </c>
      <c r="G21" s="323">
        <v>15.6</v>
      </c>
      <c r="H21" s="240">
        <f t="shared" si="3"/>
        <v>16.059000000000015</v>
      </c>
      <c r="I21" s="370">
        <f>+(D21-D$2)/SUM($F$3:F21)</f>
        <v>17.430063778470295</v>
      </c>
      <c r="J21" s="237">
        <v>16.72</v>
      </c>
      <c r="K21" s="232">
        <v>1.6719999999999999</v>
      </c>
      <c r="L21" s="320">
        <f t="shared" si="4"/>
        <v>9.5926212390872774</v>
      </c>
      <c r="M21" s="28" t="s">
        <v>109</v>
      </c>
    </row>
    <row r="22" spans="1:14" x14ac:dyDescent="0.3">
      <c r="A22" s="366">
        <v>20</v>
      </c>
      <c r="B22" s="367">
        <v>43224</v>
      </c>
      <c r="C22" s="231">
        <v>4878</v>
      </c>
      <c r="D22" s="226">
        <f t="shared" si="0"/>
        <v>4926.78</v>
      </c>
      <c r="E22" s="231">
        <f t="shared" si="1"/>
        <v>257.54999999999927</v>
      </c>
      <c r="F22" s="344">
        <f t="shared" si="2"/>
        <v>14.658735128365686</v>
      </c>
      <c r="G22" s="323">
        <v>17.3</v>
      </c>
      <c r="H22" s="240">
        <f t="shared" si="3"/>
        <v>17.56972874839807</v>
      </c>
      <c r="I22" s="370">
        <f>+(D22-D$2)/SUM($F$3:F22)</f>
        <v>17.437323210761715</v>
      </c>
      <c r="J22" s="237">
        <v>23.41</v>
      </c>
      <c r="K22" s="232">
        <v>1.597</v>
      </c>
      <c r="L22" s="320">
        <f t="shared" si="4"/>
        <v>9.1585157922311531</v>
      </c>
      <c r="M22" s="28" t="s">
        <v>110</v>
      </c>
    </row>
    <row r="23" spans="1:14" x14ac:dyDescent="0.3">
      <c r="A23" s="366">
        <v>21</v>
      </c>
      <c r="B23" s="367">
        <v>43225</v>
      </c>
      <c r="C23" s="231">
        <v>5179</v>
      </c>
      <c r="D23" s="226">
        <f t="shared" si="0"/>
        <v>5230.79</v>
      </c>
      <c r="E23" s="231">
        <f t="shared" si="1"/>
        <v>304.01000000000022</v>
      </c>
      <c r="F23" s="344">
        <f t="shared" si="2"/>
        <v>16.111462951234959</v>
      </c>
      <c r="G23" s="323">
        <v>19.100000000000001</v>
      </c>
      <c r="H23" s="240">
        <f t="shared" si="3"/>
        <v>18.869174135220138</v>
      </c>
      <c r="I23" s="370">
        <f>+(D23-D$2)/SUM($F$3:F23)</f>
        <v>17.514702301892004</v>
      </c>
      <c r="J23" s="237">
        <v>25.44</v>
      </c>
      <c r="K23" s="232">
        <v>1.579</v>
      </c>
      <c r="L23" s="320">
        <f t="shared" si="4"/>
        <v>9.0152831191965532</v>
      </c>
      <c r="M23" s="28" t="s">
        <v>111</v>
      </c>
    </row>
    <row r="24" spans="1:14" x14ac:dyDescent="0.3">
      <c r="A24" s="366">
        <v>22</v>
      </c>
      <c r="B24" s="367">
        <v>43226</v>
      </c>
      <c r="C24" s="231">
        <v>5375</v>
      </c>
      <c r="D24" s="226">
        <f t="shared" si="0"/>
        <v>5428.75</v>
      </c>
      <c r="E24" s="231">
        <f t="shared" si="1"/>
        <v>197.96000000000004</v>
      </c>
      <c r="F24" s="344">
        <f t="shared" si="2"/>
        <v>10.959071472205254</v>
      </c>
      <c r="G24" s="323">
        <v>17.8</v>
      </c>
      <c r="H24" s="240">
        <f t="shared" si="3"/>
        <v>18.063574136008921</v>
      </c>
      <c r="I24" s="370">
        <f>+(D24-D$2)/SUM($F$3:F24)</f>
        <v>17.534162967981896</v>
      </c>
      <c r="J24" s="237">
        <v>17.940000000000001</v>
      </c>
      <c r="K24" s="232">
        <v>1.637</v>
      </c>
      <c r="L24" s="320">
        <f t="shared" si="4"/>
        <v>9.3360601415033582</v>
      </c>
      <c r="M24" s="28" t="s">
        <v>109</v>
      </c>
      <c r="N24" s="324" t="s">
        <v>114</v>
      </c>
    </row>
    <row r="25" spans="1:14" x14ac:dyDescent="0.3">
      <c r="A25" s="366">
        <v>23</v>
      </c>
      <c r="B25" s="367">
        <v>43226</v>
      </c>
      <c r="C25" s="231">
        <v>5660</v>
      </c>
      <c r="D25" s="226">
        <f t="shared" si="0"/>
        <v>5716.6</v>
      </c>
      <c r="E25" s="231">
        <f t="shared" si="1"/>
        <v>287.85000000000036</v>
      </c>
      <c r="F25" s="344">
        <f t="shared" si="2"/>
        <v>18.861593768723786</v>
      </c>
      <c r="G25" s="318" t="s">
        <v>115</v>
      </c>
      <c r="H25" s="240">
        <f t="shared" si="3"/>
        <v>15.261170584498114</v>
      </c>
      <c r="I25" s="370">
        <f>+(D25-D$2)/SUM($F$3:F25)</f>
        <v>17.403436149859665</v>
      </c>
      <c r="J25" s="237">
        <v>31.48</v>
      </c>
      <c r="K25" s="232">
        <v>1.669</v>
      </c>
      <c r="L25" s="320">
        <f t="shared" si="4"/>
        <v>9.5900601790839914</v>
      </c>
      <c r="M25" s="28" t="s">
        <v>113</v>
      </c>
      <c r="N25" s="324" t="s">
        <v>112</v>
      </c>
    </row>
    <row r="26" spans="1:14" x14ac:dyDescent="0.3">
      <c r="A26" s="366">
        <v>24</v>
      </c>
      <c r="B26" s="367">
        <v>43228</v>
      </c>
      <c r="C26" s="231">
        <v>5979</v>
      </c>
      <c r="D26" s="231">
        <f t="shared" si="0"/>
        <v>6038.79</v>
      </c>
      <c r="E26" s="231">
        <f t="shared" si="1"/>
        <v>322.1899999999996</v>
      </c>
      <c r="F26" s="344">
        <f t="shared" si="2"/>
        <v>18.661832564271588</v>
      </c>
      <c r="G26" s="318">
        <v>17.100000000000001</v>
      </c>
      <c r="H26" s="240">
        <f t="shared" si="3"/>
        <v>17.264649593783094</v>
      </c>
      <c r="I26" s="370">
        <f>+(D26-D$2)/SUM($F$3:F26)</f>
        <v>17.395963846772624</v>
      </c>
      <c r="J26" s="237">
        <v>28.31</v>
      </c>
      <c r="K26" s="232">
        <v>1.5169999999999999</v>
      </c>
      <c r="L26" s="320">
        <f t="shared" si="4"/>
        <v>8.7204136164116051</v>
      </c>
      <c r="M26" s="28" t="s">
        <v>89</v>
      </c>
      <c r="N26" s="328" t="s">
        <v>116</v>
      </c>
    </row>
    <row r="27" spans="1:14" x14ac:dyDescent="0.3">
      <c r="A27" s="366">
        <v>25</v>
      </c>
      <c r="B27" s="367">
        <v>43230</v>
      </c>
      <c r="C27" s="231">
        <v>6247</v>
      </c>
      <c r="D27" s="226">
        <f t="shared" si="0"/>
        <v>6309.47</v>
      </c>
      <c r="E27" s="231">
        <f t="shared" si="1"/>
        <v>270.68000000000029</v>
      </c>
      <c r="F27" s="344">
        <f t="shared" si="2"/>
        <v>16.440781440781443</v>
      </c>
      <c r="G27" s="318">
        <v>16.100000000000001</v>
      </c>
      <c r="H27" s="240">
        <f t="shared" si="3"/>
        <v>16.463937616041605</v>
      </c>
      <c r="I27" s="370">
        <f>+(D27-D$2)/SUM($F$3:F27)</f>
        <v>17.353757537953172</v>
      </c>
      <c r="J27" s="237">
        <v>26.93</v>
      </c>
      <c r="K27" s="232">
        <v>1.6379999999999999</v>
      </c>
      <c r="L27" s="320">
        <f t="shared" si="4"/>
        <v>9.4388779860364327</v>
      </c>
      <c r="M27" s="28" t="s">
        <v>117</v>
      </c>
      <c r="N27" s="324" t="s">
        <v>122</v>
      </c>
    </row>
    <row r="28" spans="1:14" x14ac:dyDescent="0.3">
      <c r="A28" s="366">
        <v>26</v>
      </c>
      <c r="B28" s="367">
        <v>43230</v>
      </c>
      <c r="C28" s="231">
        <v>6341</v>
      </c>
      <c r="D28" s="231">
        <f t="shared" si="0"/>
        <v>6404.41</v>
      </c>
      <c r="E28" s="231">
        <f t="shared" si="1"/>
        <v>94.9399999999996</v>
      </c>
      <c r="F28" s="344">
        <f t="shared" si="2"/>
        <v>6.5521398432790834</v>
      </c>
      <c r="G28" s="318">
        <v>13.9</v>
      </c>
      <c r="H28" s="240">
        <f t="shared" si="3"/>
        <v>14.489922723091016</v>
      </c>
      <c r="I28" s="370">
        <f>+(D28-D$2)/SUM($F$3:F28)</f>
        <v>17.302989545773439</v>
      </c>
      <c r="J28" s="237">
        <v>10.87</v>
      </c>
      <c r="K28" s="232">
        <v>1.659</v>
      </c>
      <c r="L28" s="320">
        <f t="shared" si="4"/>
        <v>9.5879385213247161</v>
      </c>
      <c r="M28" s="28" t="s">
        <v>117</v>
      </c>
      <c r="N28" s="324" t="s">
        <v>124</v>
      </c>
    </row>
    <row r="29" spans="1:14" x14ac:dyDescent="0.3">
      <c r="A29" s="366">
        <v>27</v>
      </c>
      <c r="B29" s="367">
        <v>43230</v>
      </c>
      <c r="C29" s="231">
        <v>6594</v>
      </c>
      <c r="D29" s="226">
        <f t="shared" si="0"/>
        <v>6659.9400000000005</v>
      </c>
      <c r="E29" s="231">
        <f t="shared" si="1"/>
        <v>255.53000000000065</v>
      </c>
      <c r="F29" s="344">
        <f t="shared" si="2"/>
        <v>16.151568975725283</v>
      </c>
      <c r="G29" s="318">
        <v>15.4</v>
      </c>
      <c r="H29" s="240">
        <f t="shared" si="3"/>
        <v>15.820754032258103</v>
      </c>
      <c r="I29" s="370">
        <f>+(D29-D$2)/SUM($F$3:F29)</f>
        <v>17.240929021261259</v>
      </c>
      <c r="J29" s="237">
        <v>27.28</v>
      </c>
      <c r="K29" s="232">
        <v>1.6890000000000001</v>
      </c>
      <c r="L29" s="320">
        <f t="shared" si="4"/>
        <v>9.7964558517534073</v>
      </c>
      <c r="M29" s="28" t="s">
        <v>118</v>
      </c>
      <c r="N29" s="324" t="s">
        <v>135</v>
      </c>
    </row>
    <row r="30" spans="1:14" x14ac:dyDescent="0.3">
      <c r="A30" s="366">
        <v>28</v>
      </c>
      <c r="B30" s="367">
        <v>43230</v>
      </c>
      <c r="C30" s="231">
        <v>6859</v>
      </c>
      <c r="D30" s="231">
        <f t="shared" si="0"/>
        <v>6927.59</v>
      </c>
      <c r="E30" s="231">
        <f t="shared" si="1"/>
        <v>267.64999999999964</v>
      </c>
      <c r="F30" s="344">
        <f t="shared" si="2"/>
        <v>17.58873929008568</v>
      </c>
      <c r="G30" s="318">
        <v>14.7</v>
      </c>
      <c r="H30" s="240">
        <f t="shared" si="3"/>
        <v>15.217122477383416</v>
      </c>
      <c r="I30" s="370">
        <f>+(D30-D$2)/SUM($F$3:F30)</f>
        <v>17.152677199989629</v>
      </c>
      <c r="J30" s="237">
        <v>28.74</v>
      </c>
      <c r="K30" s="232">
        <v>1.6339999999999999</v>
      </c>
      <c r="L30" s="320">
        <f t="shared" si="4"/>
        <v>9.5262097044593599</v>
      </c>
      <c r="M30" s="28" t="s">
        <v>119</v>
      </c>
      <c r="N30" s="328" t="s">
        <v>133</v>
      </c>
    </row>
    <row r="31" spans="1:14" x14ac:dyDescent="0.3">
      <c r="A31" s="366">
        <v>29</v>
      </c>
      <c r="B31" s="367">
        <v>43233</v>
      </c>
      <c r="C31" s="231">
        <v>7074</v>
      </c>
      <c r="D31" s="226">
        <f t="shared" si="0"/>
        <v>7144.74</v>
      </c>
      <c r="E31" s="231">
        <f t="shared" si="1"/>
        <v>217.14999999999964</v>
      </c>
      <c r="F31" s="344">
        <f t="shared" si="2"/>
        <v>14.040025015634772</v>
      </c>
      <c r="G31" s="318">
        <v>15.3</v>
      </c>
      <c r="H31" s="240">
        <f t="shared" si="3"/>
        <v>15.466496659242736</v>
      </c>
      <c r="I31" s="370">
        <f>+(D31-D$2)/SUM($F$3:F31)</f>
        <v>17.09595777086453</v>
      </c>
      <c r="J31" s="237">
        <v>22.45</v>
      </c>
      <c r="K31" s="232">
        <v>1.599</v>
      </c>
      <c r="L31" s="320">
        <f t="shared" si="4"/>
        <v>9.3530881476852166</v>
      </c>
      <c r="M31" s="28" t="s">
        <v>120</v>
      </c>
      <c r="N31" s="327" t="s">
        <v>134</v>
      </c>
    </row>
    <row r="32" spans="1:14" x14ac:dyDescent="0.3">
      <c r="A32" s="366">
        <v>30</v>
      </c>
      <c r="B32" s="367">
        <v>43233</v>
      </c>
      <c r="C32" s="231">
        <v>7291</v>
      </c>
      <c r="D32" s="231">
        <f t="shared" si="0"/>
        <v>7363.91</v>
      </c>
      <c r="E32" s="231">
        <f t="shared" si="1"/>
        <v>219.17000000000007</v>
      </c>
      <c r="F32" s="344">
        <f t="shared" si="2"/>
        <v>14.508435136707389</v>
      </c>
      <c r="G32" s="318">
        <v>14.6</v>
      </c>
      <c r="H32" s="240">
        <f t="shared" si="3"/>
        <v>15.106384522854857</v>
      </c>
      <c r="I32" s="370">
        <f>+(D32-D$2)/SUM($F$3:F32)</f>
        <v>17.029123264316443</v>
      </c>
      <c r="J32" s="237">
        <v>24.94</v>
      </c>
      <c r="K32" s="232">
        <v>1.7190000000000001</v>
      </c>
      <c r="L32" s="320">
        <f t="shared" si="4"/>
        <v>10.094471531614706</v>
      </c>
      <c r="M32" s="28" t="s">
        <v>121</v>
      </c>
      <c r="N32" s="327" t="s">
        <v>130</v>
      </c>
    </row>
    <row r="33" spans="1:14" x14ac:dyDescent="0.3">
      <c r="A33" s="366">
        <v>31</v>
      </c>
      <c r="B33" s="367">
        <v>43233</v>
      </c>
      <c r="C33" s="231">
        <v>7472</v>
      </c>
      <c r="D33" s="226">
        <f t="shared" si="0"/>
        <v>7546.72</v>
      </c>
      <c r="E33" s="231">
        <f t="shared" si="1"/>
        <v>182.8100000000004</v>
      </c>
      <c r="F33" s="344">
        <f t="shared" si="2"/>
        <v>12.790284360189574</v>
      </c>
      <c r="G33" s="318">
        <v>13.8</v>
      </c>
      <c r="H33" s="240">
        <f t="shared" si="3"/>
        <v>14.292880037054223</v>
      </c>
      <c r="I33" s="370">
        <f>+(D33-D$2)/SUM($F$3:F33)</f>
        <v>16.950422200232218</v>
      </c>
      <c r="J33" s="237">
        <v>21.59</v>
      </c>
      <c r="K33" s="232">
        <v>1.6879999999999999</v>
      </c>
      <c r="L33" s="320">
        <f t="shared" si="4"/>
        <v>9.9584540140650581</v>
      </c>
      <c r="M33" s="28" t="s">
        <v>123</v>
      </c>
      <c r="N33" s="324" t="s">
        <v>136</v>
      </c>
    </row>
    <row r="34" spans="1:14" x14ac:dyDescent="0.3">
      <c r="A34" s="366">
        <v>32</v>
      </c>
      <c r="B34" s="367">
        <v>43233</v>
      </c>
      <c r="C34" s="231">
        <v>7625</v>
      </c>
      <c r="D34" s="231">
        <f t="shared" ref="D34:D65" si="5">+C34*1.01</f>
        <v>7701.25</v>
      </c>
      <c r="E34" s="231">
        <f t="shared" si="1"/>
        <v>154.52999999999975</v>
      </c>
      <c r="F34" s="344">
        <f t="shared" si="2"/>
        <v>10.541989279332936</v>
      </c>
      <c r="G34" s="318">
        <v>14.1</v>
      </c>
      <c r="H34" s="240">
        <f t="shared" si="3"/>
        <v>14.658523728813535</v>
      </c>
      <c r="I34" s="370">
        <f>+(D34-D$2)/SUM($F$3:F34)</f>
        <v>16.897347424263852</v>
      </c>
      <c r="J34" s="237">
        <v>17.7</v>
      </c>
      <c r="K34" s="232">
        <v>1.679</v>
      </c>
      <c r="L34" s="320">
        <f t="shared" si="4"/>
        <v>9.9364708426899568</v>
      </c>
      <c r="M34" s="28" t="s">
        <v>125</v>
      </c>
      <c r="N34" s="324" t="s">
        <v>186</v>
      </c>
    </row>
    <row r="35" spans="1:14" x14ac:dyDescent="0.3">
      <c r="A35" s="366">
        <v>33</v>
      </c>
      <c r="B35" s="367">
        <v>43234</v>
      </c>
      <c r="C35" s="231">
        <v>7785</v>
      </c>
      <c r="D35" s="226">
        <f t="shared" si="5"/>
        <v>7862.85</v>
      </c>
      <c r="E35" s="231">
        <f t="shared" ref="E35:E66" si="6">+D35-D34</f>
        <v>161.60000000000036</v>
      </c>
      <c r="F35" s="344">
        <f t="shared" ref="F35:F66" si="7">+J35/K35</f>
        <v>11.189320388349516</v>
      </c>
      <c r="G35" s="318">
        <v>14.2</v>
      </c>
      <c r="H35" s="240">
        <f t="shared" ref="H35:H66" si="8">+E35/F35</f>
        <v>14.442342733188751</v>
      </c>
      <c r="I35" s="370">
        <f>+(D35-D$2)/SUM($F$3:F35)</f>
        <v>16.838452132629012</v>
      </c>
      <c r="J35" s="237">
        <v>18.440000000000001</v>
      </c>
      <c r="K35" s="232">
        <v>1.6479999999999999</v>
      </c>
      <c r="L35" s="320">
        <f t="shared" ref="L35:L66" si="9">+K35/I35*100</f>
        <v>9.7871228722179175</v>
      </c>
      <c r="M35" s="28" t="s">
        <v>117</v>
      </c>
      <c r="N35" s="327" t="s">
        <v>155</v>
      </c>
    </row>
    <row r="36" spans="1:14" x14ac:dyDescent="0.3">
      <c r="A36" s="366">
        <v>34</v>
      </c>
      <c r="B36" s="367">
        <v>43234</v>
      </c>
      <c r="C36" s="231">
        <v>7963</v>
      </c>
      <c r="D36" s="231">
        <f t="shared" si="5"/>
        <v>8042.63</v>
      </c>
      <c r="E36" s="231">
        <f t="shared" si="6"/>
        <v>179.77999999999975</v>
      </c>
      <c r="F36" s="344">
        <f t="shared" si="7"/>
        <v>13.209658421672556</v>
      </c>
      <c r="G36" s="318">
        <v>13</v>
      </c>
      <c r="H36" s="240">
        <f t="shared" si="8"/>
        <v>13.609738742755219</v>
      </c>
      <c r="I36" s="370">
        <f>+(D36-D$2)/SUM($F$3:F36)</f>
        <v>16.74952859931992</v>
      </c>
      <c r="J36" s="237">
        <v>22.43</v>
      </c>
      <c r="K36" s="232">
        <v>1.698</v>
      </c>
      <c r="L36" s="320">
        <f t="shared" si="9"/>
        <v>10.137598738563566</v>
      </c>
      <c r="M36" s="28" t="s">
        <v>126</v>
      </c>
      <c r="N36" s="327" t="s">
        <v>187</v>
      </c>
    </row>
    <row r="37" spans="1:14" x14ac:dyDescent="0.3">
      <c r="A37" s="366">
        <v>35</v>
      </c>
      <c r="B37" s="367">
        <v>43236</v>
      </c>
      <c r="C37" s="231">
        <v>8178</v>
      </c>
      <c r="D37" s="226">
        <f t="shared" si="5"/>
        <v>8259.7800000000007</v>
      </c>
      <c r="E37" s="231">
        <f t="shared" si="6"/>
        <v>217.15000000000055</v>
      </c>
      <c r="F37" s="344">
        <f t="shared" si="7"/>
        <v>12.97157622739018</v>
      </c>
      <c r="G37" s="318">
        <v>16.899999999999999</v>
      </c>
      <c r="H37" s="240">
        <f t="shared" si="8"/>
        <v>16.740448207171358</v>
      </c>
      <c r="I37" s="370">
        <f>+(D37-D$2)/SUM($F$3:F37)</f>
        <v>16.749289486161771</v>
      </c>
      <c r="J37" s="237">
        <v>20.079999999999998</v>
      </c>
      <c r="K37" s="232">
        <v>1.548</v>
      </c>
      <c r="L37" s="320">
        <f t="shared" si="9"/>
        <v>9.2421830865061736</v>
      </c>
      <c r="M37" s="28" t="s">
        <v>101</v>
      </c>
      <c r="N37" s="327" t="s">
        <v>188</v>
      </c>
    </row>
    <row r="38" spans="1:14" x14ac:dyDescent="0.3">
      <c r="A38" s="366">
        <v>36</v>
      </c>
      <c r="B38" s="367">
        <v>43239</v>
      </c>
      <c r="C38" s="231">
        <v>8413</v>
      </c>
      <c r="D38" s="231">
        <f t="shared" si="5"/>
        <v>8497.1299999999992</v>
      </c>
      <c r="E38" s="231">
        <f t="shared" si="6"/>
        <v>237.34999999999854</v>
      </c>
      <c r="F38" s="344">
        <f t="shared" si="7"/>
        <v>13.331222292590247</v>
      </c>
      <c r="G38" s="318">
        <v>17.7</v>
      </c>
      <c r="H38" s="240">
        <f t="shared" si="8"/>
        <v>17.804068883610341</v>
      </c>
      <c r="I38" s="370">
        <f>+(D38-D$2)/SUM($F$3:F38)</f>
        <v>16.777082819707225</v>
      </c>
      <c r="J38" s="237">
        <v>21.05</v>
      </c>
      <c r="K38" s="232">
        <v>1.579</v>
      </c>
      <c r="L38" s="320">
        <f t="shared" si="9"/>
        <v>9.4116481212408711</v>
      </c>
      <c r="M38" s="28" t="s">
        <v>101</v>
      </c>
      <c r="N38" s="324" t="s">
        <v>195</v>
      </c>
    </row>
    <row r="39" spans="1:14" x14ac:dyDescent="0.3">
      <c r="A39" s="366">
        <v>37</v>
      </c>
      <c r="B39" s="367">
        <v>43240</v>
      </c>
      <c r="C39" s="231">
        <v>8585</v>
      </c>
      <c r="D39" s="226">
        <f t="shared" si="5"/>
        <v>8670.85</v>
      </c>
      <c r="E39" s="231">
        <f t="shared" si="6"/>
        <v>173.72000000000116</v>
      </c>
      <c r="F39" s="344">
        <f t="shared" si="7"/>
        <v>8.5676913015042508</v>
      </c>
      <c r="G39" s="318">
        <v>20.6</v>
      </c>
      <c r="H39" s="240">
        <f t="shared" si="8"/>
        <v>20.276174045801664</v>
      </c>
      <c r="I39" s="370">
        <f>+(D39-D$2)/SUM($F$3:F39)</f>
        <v>16.835351491342255</v>
      </c>
      <c r="J39" s="237">
        <v>13.1</v>
      </c>
      <c r="K39" s="232">
        <v>1.5289999999999999</v>
      </c>
      <c r="L39" s="320">
        <f t="shared" si="9"/>
        <v>9.0820794611048257</v>
      </c>
      <c r="M39" s="28" t="s">
        <v>89</v>
      </c>
      <c r="N39" s="324" t="s">
        <v>196</v>
      </c>
    </row>
    <row r="40" spans="1:14" x14ac:dyDescent="0.3">
      <c r="A40" s="366">
        <v>38</v>
      </c>
      <c r="B40" s="367">
        <v>43240</v>
      </c>
      <c r="C40" s="231">
        <v>8943</v>
      </c>
      <c r="D40" s="231">
        <f t="shared" si="5"/>
        <v>9032.43</v>
      </c>
      <c r="E40" s="231">
        <f t="shared" si="6"/>
        <v>361.57999999999993</v>
      </c>
      <c r="F40" s="344">
        <f t="shared" si="7"/>
        <v>18.251912889935255</v>
      </c>
      <c r="G40" s="318">
        <v>19.100000000000001</v>
      </c>
      <c r="H40" s="240">
        <f t="shared" si="8"/>
        <v>19.810526281844563</v>
      </c>
      <c r="I40" s="370">
        <f>+(D40-D$2)/SUM($F$3:F40)</f>
        <v>16.937280365536544</v>
      </c>
      <c r="J40" s="237">
        <v>31.01</v>
      </c>
      <c r="K40" s="232">
        <v>1.6990000000000001</v>
      </c>
      <c r="L40" s="320">
        <f t="shared" si="9"/>
        <v>10.031126387073765</v>
      </c>
      <c r="M40" s="28" t="s">
        <v>127</v>
      </c>
      <c r="N40" s="324" t="s">
        <v>128</v>
      </c>
    </row>
    <row r="41" spans="1:14" x14ac:dyDescent="0.3">
      <c r="A41" s="366">
        <v>39</v>
      </c>
      <c r="B41" s="367">
        <v>43240</v>
      </c>
      <c r="C41" s="231">
        <v>9294</v>
      </c>
      <c r="D41" s="226">
        <f t="shared" si="5"/>
        <v>9386.94</v>
      </c>
      <c r="E41" s="231">
        <f t="shared" si="6"/>
        <v>354.51000000000022</v>
      </c>
      <c r="F41" s="344">
        <f t="shared" si="7"/>
        <v>18.776978417266189</v>
      </c>
      <c r="G41" s="318">
        <v>19.100000000000001</v>
      </c>
      <c r="H41" s="240">
        <f t="shared" si="8"/>
        <v>18.880034482758631</v>
      </c>
      <c r="I41" s="370">
        <f>+(D41-D$2)/SUM($F$3:F41)</f>
        <v>17.003422255932303</v>
      </c>
      <c r="J41" s="237">
        <v>28.71</v>
      </c>
      <c r="K41" s="232">
        <v>1.5289999999999999</v>
      </c>
      <c r="L41" s="320">
        <f t="shared" si="9"/>
        <v>8.992307413094732</v>
      </c>
      <c r="M41" s="28" t="s">
        <v>89</v>
      </c>
      <c r="N41" s="324" t="s">
        <v>129</v>
      </c>
    </row>
    <row r="42" spans="1:14" x14ac:dyDescent="0.3">
      <c r="A42" s="366">
        <v>40</v>
      </c>
      <c r="B42" s="367">
        <v>43246</v>
      </c>
      <c r="C42" s="231">
        <v>9569</v>
      </c>
      <c r="D42" s="226">
        <f t="shared" si="5"/>
        <v>9664.69</v>
      </c>
      <c r="E42" s="231">
        <f t="shared" si="6"/>
        <v>277.75</v>
      </c>
      <c r="F42" s="344">
        <f t="shared" si="7"/>
        <v>16.058301647655259</v>
      </c>
      <c r="G42" s="318">
        <v>17.2</v>
      </c>
      <c r="H42" s="240">
        <f t="shared" si="8"/>
        <v>17.296349644830308</v>
      </c>
      <c r="I42" s="370">
        <f>+(D42-D$2)/SUM($F$3:F42)</f>
        <v>17.011709846600873</v>
      </c>
      <c r="J42" s="237">
        <v>25.34</v>
      </c>
      <c r="K42" s="232">
        <v>1.5780000000000001</v>
      </c>
      <c r="L42" s="320">
        <f t="shared" si="9"/>
        <v>9.2759635229453554</v>
      </c>
      <c r="M42" s="28" t="s">
        <v>154</v>
      </c>
    </row>
    <row r="43" spans="1:14" x14ac:dyDescent="0.3">
      <c r="A43" s="371">
        <v>41</v>
      </c>
      <c r="B43" s="372">
        <v>43250</v>
      </c>
      <c r="C43" s="329">
        <v>9882</v>
      </c>
      <c r="D43" s="337">
        <f t="shared" si="5"/>
        <v>9980.82</v>
      </c>
      <c r="E43" s="329">
        <f t="shared" si="6"/>
        <v>316.1299999999992</v>
      </c>
      <c r="F43" s="374">
        <f t="shared" si="7"/>
        <v>18.557025834908632</v>
      </c>
      <c r="G43" s="330">
        <v>17.100000000000001</v>
      </c>
      <c r="H43" s="331">
        <f t="shared" si="8"/>
        <v>17.035596264855645</v>
      </c>
      <c r="I43" s="375">
        <f>+(D43-D$2)/SUM($F$3:F43)</f>
        <v>17.012466080543934</v>
      </c>
      <c r="J43" s="332">
        <v>29.45</v>
      </c>
      <c r="K43" s="339">
        <v>1.587</v>
      </c>
      <c r="L43" s="333">
        <f t="shared" si="9"/>
        <v>9.3284535733179208</v>
      </c>
      <c r="M43" s="334" t="s">
        <v>89</v>
      </c>
      <c r="N43" s="335" t="s">
        <v>116</v>
      </c>
    </row>
    <row r="44" spans="1:14" x14ac:dyDescent="0.3">
      <c r="A44" s="366">
        <v>42</v>
      </c>
      <c r="B44" s="367">
        <v>43253</v>
      </c>
      <c r="C44" s="231">
        <v>10188</v>
      </c>
      <c r="D44" s="226">
        <f t="shared" si="5"/>
        <v>10289.879999999999</v>
      </c>
      <c r="E44" s="231">
        <f t="shared" si="6"/>
        <v>309.05999999999949</v>
      </c>
      <c r="F44" s="344">
        <f t="shared" si="7"/>
        <v>18.217592592592592</v>
      </c>
      <c r="G44" s="318">
        <v>16.899999999999999</v>
      </c>
      <c r="H44" s="240">
        <f t="shared" si="8"/>
        <v>16.964919949174053</v>
      </c>
      <c r="I44" s="370">
        <f>+(D44-D$2)/SUM($F$3:F44)</f>
        <v>17.011032868770542</v>
      </c>
      <c r="J44" s="237">
        <v>31.48</v>
      </c>
      <c r="K44" s="232">
        <v>1.728</v>
      </c>
      <c r="L44" s="320">
        <f t="shared" si="9"/>
        <v>10.158113345206237</v>
      </c>
      <c r="M44" s="28" t="s">
        <v>117</v>
      </c>
      <c r="N44" s="324" t="s">
        <v>139</v>
      </c>
    </row>
    <row r="45" spans="1:14" x14ac:dyDescent="0.3">
      <c r="A45" s="366">
        <v>43</v>
      </c>
      <c r="B45" s="367">
        <v>43253</v>
      </c>
      <c r="C45" s="231">
        <v>10423</v>
      </c>
      <c r="D45" s="226">
        <f t="shared" si="5"/>
        <v>10527.23</v>
      </c>
      <c r="E45" s="231">
        <f t="shared" si="6"/>
        <v>237.35000000000036</v>
      </c>
      <c r="F45" s="344">
        <f t="shared" si="7"/>
        <v>15.537665324899367</v>
      </c>
      <c r="G45" s="318">
        <v>14.7</v>
      </c>
      <c r="H45" s="240">
        <f t="shared" si="8"/>
        <v>15.275782753515939</v>
      </c>
      <c r="I45" s="370">
        <f>+(D45-D$2)/SUM($F$3:F45)</f>
        <v>16.967539028590412</v>
      </c>
      <c r="J45" s="237">
        <v>27.02</v>
      </c>
      <c r="K45" s="232">
        <v>1.7390000000000001</v>
      </c>
      <c r="L45" s="320">
        <f t="shared" si="9"/>
        <v>10.248981876922599</v>
      </c>
      <c r="M45" s="28" t="s">
        <v>137</v>
      </c>
    </row>
    <row r="46" spans="1:14" x14ac:dyDescent="0.3">
      <c r="A46" s="366">
        <v>44</v>
      </c>
      <c r="B46" s="367">
        <v>43254</v>
      </c>
      <c r="C46" s="231">
        <v>10741</v>
      </c>
      <c r="D46" s="226">
        <f t="shared" si="5"/>
        <v>10848.41</v>
      </c>
      <c r="E46" s="231">
        <f t="shared" si="6"/>
        <v>321.18000000000029</v>
      </c>
      <c r="F46" s="344">
        <f t="shared" si="7"/>
        <v>20.300353356890458</v>
      </c>
      <c r="G46" s="318">
        <v>15.5</v>
      </c>
      <c r="H46" s="240">
        <f t="shared" si="8"/>
        <v>15.821399477806803</v>
      </c>
      <c r="I46" s="370">
        <f>+(D46-D$2)/SUM($F$3:F46)</f>
        <v>16.93119553399886</v>
      </c>
      <c r="J46" s="237">
        <v>34.47</v>
      </c>
      <c r="K46" s="232">
        <v>1.698</v>
      </c>
      <c r="L46" s="320">
        <f t="shared" si="9"/>
        <v>10.028825174160405</v>
      </c>
      <c r="M46" s="28" t="s">
        <v>138</v>
      </c>
      <c r="N46" s="328" t="s">
        <v>140</v>
      </c>
    </row>
    <row r="47" spans="1:14" x14ac:dyDescent="0.3">
      <c r="A47" s="366">
        <v>45</v>
      </c>
      <c r="B47" s="367">
        <v>43254</v>
      </c>
      <c r="C47" s="231">
        <v>10928</v>
      </c>
      <c r="D47" s="226">
        <f t="shared" si="5"/>
        <v>11037.28</v>
      </c>
      <c r="E47" s="231">
        <f t="shared" si="6"/>
        <v>188.8700000000008</v>
      </c>
      <c r="F47" s="344">
        <f t="shared" si="7"/>
        <v>12.058823529411764</v>
      </c>
      <c r="G47" s="318">
        <v>15</v>
      </c>
      <c r="H47" s="240">
        <f t="shared" si="8"/>
        <v>15.662390243902506</v>
      </c>
      <c r="I47" s="370">
        <f>+(D47-D$2)/SUM($F$3:F47)</f>
        <v>16.907738062805823</v>
      </c>
      <c r="J47" s="237">
        <v>19.27</v>
      </c>
      <c r="K47" s="232">
        <v>1.5980000000000001</v>
      </c>
      <c r="L47" s="320">
        <f t="shared" si="9"/>
        <v>9.4512938044346164</v>
      </c>
      <c r="M47" s="28" t="s">
        <v>117</v>
      </c>
      <c r="N47" s="324" t="s">
        <v>114</v>
      </c>
    </row>
    <row r="48" spans="1:14" x14ac:dyDescent="0.3">
      <c r="A48" s="366">
        <v>46</v>
      </c>
      <c r="B48" s="367">
        <v>43256</v>
      </c>
      <c r="C48" s="231">
        <v>11271</v>
      </c>
      <c r="D48" s="226">
        <f t="shared" si="5"/>
        <v>11383.710000000001</v>
      </c>
      <c r="E48" s="231">
        <f t="shared" si="6"/>
        <v>346.43000000000029</v>
      </c>
      <c r="F48" s="344">
        <f t="shared" si="7"/>
        <v>19.96819338422392</v>
      </c>
      <c r="G48" s="318">
        <v>17.3</v>
      </c>
      <c r="H48" s="240">
        <f t="shared" si="8"/>
        <v>17.349090793246269</v>
      </c>
      <c r="I48" s="370">
        <f>+(D48-D$2)/SUM($F$3:F48)</f>
        <v>16.920848278178422</v>
      </c>
      <c r="J48" s="237">
        <v>31.39</v>
      </c>
      <c r="K48" s="232">
        <v>1.5720000000000001</v>
      </c>
      <c r="L48" s="320">
        <f t="shared" si="9"/>
        <v>9.2903143752390545</v>
      </c>
      <c r="M48" s="28" t="s">
        <v>89</v>
      </c>
      <c r="N48" s="328" t="s">
        <v>141</v>
      </c>
    </row>
    <row r="49" spans="1:14" s="378" customFormat="1" x14ac:dyDescent="0.3">
      <c r="A49" s="376">
        <v>47</v>
      </c>
      <c r="B49" s="367">
        <v>43258</v>
      </c>
      <c r="C49" s="377">
        <v>11549</v>
      </c>
      <c r="D49" s="377">
        <f t="shared" si="5"/>
        <v>11664.49</v>
      </c>
      <c r="E49" s="231">
        <f t="shared" si="6"/>
        <v>280.77999999999884</v>
      </c>
      <c r="F49" s="344">
        <f t="shared" si="7"/>
        <v>15.247349823321555</v>
      </c>
      <c r="G49" s="318">
        <v>18.100000000000001</v>
      </c>
      <c r="H49" s="240">
        <f t="shared" si="8"/>
        <v>18.415003476245577</v>
      </c>
      <c r="I49" s="370">
        <f>+(D49-D$2)/SUM($F$3:F49)</f>
        <v>16.95398692234884</v>
      </c>
      <c r="J49" s="237">
        <v>25.89</v>
      </c>
      <c r="K49" s="232">
        <v>1.698</v>
      </c>
      <c r="L49" s="320">
        <f t="shared" si="9"/>
        <v>10.015343339457736</v>
      </c>
      <c r="M49" s="342" t="s">
        <v>142</v>
      </c>
      <c r="N49" s="347"/>
    </row>
    <row r="50" spans="1:14" s="378" customFormat="1" x14ac:dyDescent="0.3">
      <c r="A50" s="366">
        <v>48</v>
      </c>
      <c r="B50" s="367">
        <v>43258</v>
      </c>
      <c r="C50" s="377">
        <v>11643</v>
      </c>
      <c r="D50" s="377">
        <f t="shared" si="5"/>
        <v>11759.43</v>
      </c>
      <c r="E50" s="231">
        <f t="shared" si="6"/>
        <v>94.940000000000509</v>
      </c>
      <c r="F50" s="344">
        <f t="shared" si="7"/>
        <v>6.3095938787522075</v>
      </c>
      <c r="G50" s="318">
        <v>14.4</v>
      </c>
      <c r="H50" s="240">
        <f t="shared" si="8"/>
        <v>15.046927238806051</v>
      </c>
      <c r="I50" s="370">
        <f>+(D50-D$2)/SUM($F$3:F50)</f>
        <v>16.936643188659037</v>
      </c>
      <c r="J50" s="237">
        <v>10.72</v>
      </c>
      <c r="K50" s="232">
        <v>1.6990000000000001</v>
      </c>
      <c r="L50" s="320">
        <f t="shared" si="9"/>
        <v>10.03150377010758</v>
      </c>
      <c r="M50" s="342" t="s">
        <v>142</v>
      </c>
      <c r="N50" s="347"/>
    </row>
    <row r="51" spans="1:14" s="378" customFormat="1" x14ac:dyDescent="0.3">
      <c r="A51" s="376">
        <v>49</v>
      </c>
      <c r="B51" s="367">
        <v>43258</v>
      </c>
      <c r="C51" s="377">
        <v>11741</v>
      </c>
      <c r="D51" s="377">
        <f t="shared" si="5"/>
        <v>11858.41</v>
      </c>
      <c r="E51" s="231">
        <f t="shared" si="6"/>
        <v>98.979999999999563</v>
      </c>
      <c r="F51" s="344">
        <f t="shared" si="7"/>
        <v>6.5508836075563677</v>
      </c>
      <c r="G51" s="318">
        <v>15</v>
      </c>
      <c r="H51" s="240">
        <f t="shared" si="8"/>
        <v>15.10941209302319</v>
      </c>
      <c r="I51" s="370">
        <f>+(D51-D$2)/SUM($F$3:F51)</f>
        <v>16.919551350363456</v>
      </c>
      <c r="J51" s="237">
        <v>10.75</v>
      </c>
      <c r="K51" s="232">
        <v>1.641</v>
      </c>
      <c r="L51" s="320">
        <f t="shared" si="9"/>
        <v>9.6988387340705042</v>
      </c>
      <c r="M51" s="342" t="s">
        <v>143</v>
      </c>
      <c r="N51" s="343"/>
    </row>
    <row r="52" spans="1:14" s="378" customFormat="1" x14ac:dyDescent="0.3">
      <c r="A52" s="366">
        <v>50</v>
      </c>
      <c r="B52" s="367">
        <v>43258</v>
      </c>
      <c r="C52" s="377">
        <v>11999</v>
      </c>
      <c r="D52" s="377">
        <f t="shared" si="5"/>
        <v>12118.99</v>
      </c>
      <c r="E52" s="231">
        <f t="shared" si="6"/>
        <v>260.57999999999993</v>
      </c>
      <c r="F52" s="344">
        <f t="shared" si="7"/>
        <v>16.312272174969625</v>
      </c>
      <c r="G52" s="318">
        <v>15.7</v>
      </c>
      <c r="H52" s="240">
        <f t="shared" si="8"/>
        <v>15.974475977653626</v>
      </c>
      <c r="I52" s="370">
        <f>+(D52-D$2)/SUM($F$3:F52)</f>
        <v>16.898039554357503</v>
      </c>
      <c r="J52" s="237">
        <v>26.85</v>
      </c>
      <c r="K52" s="232">
        <v>1.6459999999999999</v>
      </c>
      <c r="L52" s="320">
        <f t="shared" si="9"/>
        <v>9.7407749266129819</v>
      </c>
      <c r="M52" s="342" t="s">
        <v>144</v>
      </c>
      <c r="N52" s="343"/>
    </row>
    <row r="53" spans="1:14" s="378" customFormat="1" x14ac:dyDescent="0.3">
      <c r="A53" s="376">
        <v>51</v>
      </c>
      <c r="B53" s="367">
        <v>43258</v>
      </c>
      <c r="C53" s="377">
        <v>12215</v>
      </c>
      <c r="D53" s="377">
        <f t="shared" si="5"/>
        <v>12337.15</v>
      </c>
      <c r="E53" s="231">
        <f t="shared" si="6"/>
        <v>218.15999999999985</v>
      </c>
      <c r="F53" s="344">
        <f t="shared" si="7"/>
        <v>12.739002932551319</v>
      </c>
      <c r="G53" s="318">
        <v>16.8</v>
      </c>
      <c r="H53" s="240">
        <f t="shared" si="8"/>
        <v>17.125359116022089</v>
      </c>
      <c r="I53" s="370">
        <f>+(D53-D$2)/SUM($F$3:F53)</f>
        <v>16.90200978609689</v>
      </c>
      <c r="J53" s="237">
        <v>21.72</v>
      </c>
      <c r="K53" s="232">
        <v>1.7050000000000001</v>
      </c>
      <c r="L53" s="320">
        <f t="shared" si="9"/>
        <v>10.087557761340809</v>
      </c>
      <c r="M53" s="342" t="s">
        <v>145</v>
      </c>
      <c r="N53" s="343"/>
    </row>
    <row r="54" spans="1:14" s="378" customFormat="1" x14ac:dyDescent="0.3">
      <c r="A54" s="366">
        <v>52</v>
      </c>
      <c r="B54" s="367">
        <v>43259</v>
      </c>
      <c r="C54" s="377">
        <v>12491</v>
      </c>
      <c r="D54" s="377">
        <f t="shared" si="5"/>
        <v>12615.91</v>
      </c>
      <c r="E54" s="231">
        <f t="shared" si="6"/>
        <v>278.76000000000022</v>
      </c>
      <c r="F54" s="344">
        <f t="shared" si="7"/>
        <v>17.359507313317938</v>
      </c>
      <c r="G54" s="318">
        <v>15.9</v>
      </c>
      <c r="H54" s="240">
        <f t="shared" si="8"/>
        <v>16.058059423503337</v>
      </c>
      <c r="I54" s="370">
        <f>+(D54-D$2)/SUM($F$3:F54)</f>
        <v>16.882390523081739</v>
      </c>
      <c r="J54" s="237">
        <v>22.55</v>
      </c>
      <c r="K54" s="232">
        <v>1.2989999999999999</v>
      </c>
      <c r="L54" s="320">
        <f t="shared" si="9"/>
        <v>7.6944079585411611</v>
      </c>
      <c r="M54" s="342" t="s">
        <v>146</v>
      </c>
      <c r="N54" s="343"/>
    </row>
    <row r="55" spans="1:14" s="378" customFormat="1" x14ac:dyDescent="0.3">
      <c r="A55" s="376">
        <v>53</v>
      </c>
      <c r="B55" s="367">
        <v>43260</v>
      </c>
      <c r="C55" s="377">
        <v>12808</v>
      </c>
      <c r="D55" s="377">
        <f t="shared" si="5"/>
        <v>12936.08</v>
      </c>
      <c r="E55" s="231">
        <f t="shared" si="6"/>
        <v>320.17000000000007</v>
      </c>
      <c r="F55" s="344">
        <f t="shared" si="7"/>
        <v>16.467722289890379</v>
      </c>
      <c r="G55" s="318">
        <v>19.100000000000001</v>
      </c>
      <c r="H55" s="240">
        <f t="shared" si="8"/>
        <v>19.442275887573967</v>
      </c>
      <c r="I55" s="370">
        <f>+(D55-D$2)/SUM($F$3:F55)</f>
        <v>16.937624860516394</v>
      </c>
      <c r="J55" s="237">
        <v>27.04</v>
      </c>
      <c r="K55" s="232">
        <v>1.6419999999999999</v>
      </c>
      <c r="L55" s="320">
        <f t="shared" si="9"/>
        <v>9.6943934791453312</v>
      </c>
      <c r="M55" s="342" t="s">
        <v>147</v>
      </c>
      <c r="N55" s="343"/>
    </row>
    <row r="56" spans="1:14" s="378" customFormat="1" x14ac:dyDescent="0.3">
      <c r="A56" s="366">
        <v>54</v>
      </c>
      <c r="B56" s="367">
        <v>43260</v>
      </c>
      <c r="C56" s="377">
        <v>12968</v>
      </c>
      <c r="D56" s="377">
        <f t="shared" si="5"/>
        <v>13097.68</v>
      </c>
      <c r="E56" s="231">
        <f t="shared" si="6"/>
        <v>161.60000000000036</v>
      </c>
      <c r="F56" s="344">
        <f t="shared" si="7"/>
        <v>8.5021485573971756</v>
      </c>
      <c r="G56" s="318">
        <v>18.600000000000001</v>
      </c>
      <c r="H56" s="240">
        <f t="shared" si="8"/>
        <v>19.00696028880871</v>
      </c>
      <c r="I56" s="370">
        <f>+(D56-D$2)/SUM($F$3:F56)</f>
        <v>16.960423209828896</v>
      </c>
      <c r="J56" s="237">
        <v>13.85</v>
      </c>
      <c r="K56" s="232">
        <v>1.629</v>
      </c>
      <c r="L56" s="320">
        <f t="shared" si="9"/>
        <v>9.6047131598459323</v>
      </c>
      <c r="M56" s="342" t="s">
        <v>148</v>
      </c>
      <c r="N56" s="343"/>
    </row>
    <row r="57" spans="1:14" s="378" customFormat="1" x14ac:dyDescent="0.3">
      <c r="A57" s="376">
        <v>55</v>
      </c>
      <c r="B57" s="367">
        <v>43261</v>
      </c>
      <c r="C57" s="377">
        <v>13325</v>
      </c>
      <c r="D57" s="377">
        <f t="shared" si="5"/>
        <v>13458.25</v>
      </c>
      <c r="E57" s="231">
        <f t="shared" si="6"/>
        <v>360.56999999999971</v>
      </c>
      <c r="F57" s="344">
        <f t="shared" si="7"/>
        <v>20.697954271961493</v>
      </c>
      <c r="G57" s="318">
        <v>17.100000000000001</v>
      </c>
      <c r="H57" s="240">
        <f t="shared" si="8"/>
        <v>17.420562209302311</v>
      </c>
      <c r="I57" s="370">
        <f>+(D57-D$2)/SUM($F$3:F57)</f>
        <v>16.972442135334195</v>
      </c>
      <c r="J57" s="237">
        <v>34.4</v>
      </c>
      <c r="K57" s="232">
        <v>1.6619999999999999</v>
      </c>
      <c r="L57" s="320">
        <f t="shared" si="9"/>
        <v>9.7923444766970444</v>
      </c>
      <c r="M57" s="342" t="s">
        <v>149</v>
      </c>
      <c r="N57" s="343" t="s">
        <v>140</v>
      </c>
    </row>
    <row r="58" spans="1:14" s="378" customFormat="1" x14ac:dyDescent="0.3">
      <c r="A58" s="366">
        <v>56</v>
      </c>
      <c r="B58" s="367">
        <v>43261</v>
      </c>
      <c r="C58" s="377">
        <v>13487</v>
      </c>
      <c r="D58" s="377">
        <f t="shared" si="5"/>
        <v>13621.87</v>
      </c>
      <c r="E58" s="231">
        <f t="shared" si="6"/>
        <v>163.6200000000008</v>
      </c>
      <c r="F58" s="344">
        <f t="shared" si="7"/>
        <v>10.908551068883611</v>
      </c>
      <c r="G58" s="318">
        <v>14.4</v>
      </c>
      <c r="H58" s="240">
        <f t="shared" si="8"/>
        <v>14.999242242787226</v>
      </c>
      <c r="I58" s="370">
        <f>+(D58-D$2)/SUM($F$3:F58)</f>
        <v>16.945647398748651</v>
      </c>
      <c r="J58" s="237">
        <v>18.37</v>
      </c>
      <c r="K58" s="232">
        <v>1.6839999999999999</v>
      </c>
      <c r="L58" s="320">
        <f t="shared" si="9"/>
        <v>9.9376551416050027</v>
      </c>
      <c r="M58" s="342" t="s">
        <v>150</v>
      </c>
      <c r="N58" s="343"/>
    </row>
    <row r="59" spans="1:14" s="378" customFormat="1" x14ac:dyDescent="0.3">
      <c r="A59" s="376">
        <v>57</v>
      </c>
      <c r="B59" s="367">
        <v>43261</v>
      </c>
      <c r="C59" s="377">
        <v>13638</v>
      </c>
      <c r="D59" s="377">
        <f t="shared" si="5"/>
        <v>13774.380000000001</v>
      </c>
      <c r="E59" s="231">
        <f t="shared" si="6"/>
        <v>152.51000000000022</v>
      </c>
      <c r="F59" s="344">
        <f t="shared" si="7"/>
        <v>10.730270906949352</v>
      </c>
      <c r="G59" s="318">
        <v>13.8</v>
      </c>
      <c r="H59" s="240">
        <f t="shared" si="8"/>
        <v>14.213061470911107</v>
      </c>
      <c r="I59" s="370">
        <f>+(D59-D$2)/SUM($F$3:F59)</f>
        <v>16.909628269526596</v>
      </c>
      <c r="J59" s="237">
        <v>18.22</v>
      </c>
      <c r="K59" s="232">
        <v>1.698</v>
      </c>
      <c r="L59" s="320">
        <f t="shared" si="9"/>
        <v>10.041616367522535</v>
      </c>
      <c r="M59" s="342" t="s">
        <v>151</v>
      </c>
      <c r="N59" s="343"/>
    </row>
    <row r="60" spans="1:14" s="378" customFormat="1" x14ac:dyDescent="0.3">
      <c r="A60" s="366">
        <v>58</v>
      </c>
      <c r="B60" s="367">
        <v>43261</v>
      </c>
      <c r="C60" s="377">
        <v>13767</v>
      </c>
      <c r="D60" s="377">
        <f t="shared" si="5"/>
        <v>13904.67</v>
      </c>
      <c r="E60" s="231">
        <f t="shared" si="6"/>
        <v>130.28999999999905</v>
      </c>
      <c r="F60" s="344">
        <f t="shared" si="7"/>
        <v>8.6627218934911241</v>
      </c>
      <c r="G60" s="318">
        <v>14.6</v>
      </c>
      <c r="H60" s="240">
        <f t="shared" si="8"/>
        <v>15.040307377049071</v>
      </c>
      <c r="I60" s="370">
        <f>+(D60-D$2)/SUM($F$3:F60)</f>
        <v>16.889945337298279</v>
      </c>
      <c r="J60" s="237">
        <v>14.64</v>
      </c>
      <c r="K60" s="232">
        <v>1.69</v>
      </c>
      <c r="L60" s="320">
        <f t="shared" si="9"/>
        <v>10.005953046324855</v>
      </c>
      <c r="M60" s="342" t="s">
        <v>152</v>
      </c>
      <c r="N60" s="343"/>
    </row>
    <row r="61" spans="1:14" s="378" customFormat="1" x14ac:dyDescent="0.3">
      <c r="A61" s="376">
        <v>59</v>
      </c>
      <c r="B61" s="367">
        <v>43262</v>
      </c>
      <c r="C61" s="377">
        <v>13965</v>
      </c>
      <c r="D61" s="377">
        <f t="shared" si="5"/>
        <v>14104.65</v>
      </c>
      <c r="E61" s="231">
        <f t="shared" si="6"/>
        <v>199.97999999999956</v>
      </c>
      <c r="F61" s="344">
        <f t="shared" si="7"/>
        <v>12.519128899352559</v>
      </c>
      <c r="G61" s="318">
        <v>15.8</v>
      </c>
      <c r="H61" s="240">
        <f t="shared" si="8"/>
        <v>15.97395486600843</v>
      </c>
      <c r="I61" s="370">
        <f>+(D61-D$2)/SUM($F$3:F61)</f>
        <v>16.876215739942573</v>
      </c>
      <c r="J61" s="237">
        <v>21.27</v>
      </c>
      <c r="K61" s="232">
        <v>1.6990000000000001</v>
      </c>
      <c r="L61" s="320">
        <f t="shared" si="9"/>
        <v>10.067422852261911</v>
      </c>
      <c r="M61" s="342" t="s">
        <v>117</v>
      </c>
      <c r="N61" s="343"/>
    </row>
    <row r="62" spans="1:14" s="378" customFormat="1" x14ac:dyDescent="0.3">
      <c r="A62" s="366">
        <v>60</v>
      </c>
      <c r="B62" s="367">
        <v>43262</v>
      </c>
      <c r="C62" s="377">
        <v>14267</v>
      </c>
      <c r="D62" s="377">
        <f t="shared" si="5"/>
        <v>14409.67</v>
      </c>
      <c r="E62" s="231">
        <f t="shared" si="6"/>
        <v>305.02000000000044</v>
      </c>
      <c r="F62" s="344">
        <f t="shared" si="7"/>
        <v>16.459948320413435</v>
      </c>
      <c r="G62" s="318">
        <v>18.3</v>
      </c>
      <c r="H62" s="240">
        <f t="shared" si="8"/>
        <v>18.531042386185273</v>
      </c>
      <c r="I62" s="370">
        <f>+(D62-D$2)/SUM($F$3:F62)</f>
        <v>16.908197200446018</v>
      </c>
      <c r="J62" s="237">
        <v>25.48</v>
      </c>
      <c r="K62" s="232">
        <v>1.548</v>
      </c>
      <c r="L62" s="320">
        <f t="shared" si="9"/>
        <v>9.155322602690994</v>
      </c>
      <c r="M62" s="342" t="s">
        <v>101</v>
      </c>
      <c r="N62" s="343" t="s">
        <v>153</v>
      </c>
    </row>
    <row r="63" spans="1:14" s="378" customFormat="1" x14ac:dyDescent="0.3">
      <c r="A63" s="366">
        <v>61</v>
      </c>
      <c r="B63" s="367">
        <v>43266</v>
      </c>
      <c r="C63" s="377">
        <v>14395</v>
      </c>
      <c r="D63" s="377">
        <f t="shared" si="5"/>
        <v>14538.95</v>
      </c>
      <c r="E63" s="231">
        <f t="shared" si="6"/>
        <v>129.28000000000065</v>
      </c>
      <c r="F63" s="344">
        <f t="shared" si="7"/>
        <v>6.507739938080495</v>
      </c>
      <c r="G63" s="318">
        <v>19.899999999999999</v>
      </c>
      <c r="H63" s="240">
        <f t="shared" si="8"/>
        <v>19.865575642245581</v>
      </c>
      <c r="I63" s="370">
        <f>+(D63-D$2)/SUM($F$3:F63)</f>
        <v>16.930623034411525</v>
      </c>
      <c r="J63" s="237">
        <v>10.51</v>
      </c>
      <c r="K63" s="232">
        <v>1.615</v>
      </c>
      <c r="L63" s="320">
        <f t="shared" si="9"/>
        <v>9.5389283472764674</v>
      </c>
      <c r="M63" s="342" t="s">
        <v>157</v>
      </c>
      <c r="N63" s="343"/>
    </row>
    <row r="64" spans="1:14" s="378" customFormat="1" x14ac:dyDescent="0.3">
      <c r="A64" s="376">
        <v>62</v>
      </c>
      <c r="B64" s="367">
        <v>43266</v>
      </c>
      <c r="C64" s="377">
        <v>14648</v>
      </c>
      <c r="D64" s="377">
        <f t="shared" si="5"/>
        <v>14794.48</v>
      </c>
      <c r="E64" s="231">
        <f t="shared" si="6"/>
        <v>255.52999999999884</v>
      </c>
      <c r="F64" s="344">
        <f t="shared" si="7"/>
        <v>14.888103651354536</v>
      </c>
      <c r="G64" s="318">
        <v>16.899999999999999</v>
      </c>
      <c r="H64" s="240">
        <f t="shared" si="8"/>
        <v>17.163367879746755</v>
      </c>
      <c r="I64" s="370">
        <f>+(D64-D$2)/SUM($F$3:F64)</f>
        <v>16.934591854429215</v>
      </c>
      <c r="J64" s="237">
        <v>25.28</v>
      </c>
      <c r="K64" s="232">
        <v>1.698</v>
      </c>
      <c r="L64" s="320">
        <f t="shared" si="9"/>
        <v>10.026813841137191</v>
      </c>
      <c r="M64" s="342" t="s">
        <v>142</v>
      </c>
      <c r="N64" s="343"/>
    </row>
    <row r="65" spans="1:14" s="378" customFormat="1" x14ac:dyDescent="0.3">
      <c r="A65" s="366">
        <v>63</v>
      </c>
      <c r="B65" s="367">
        <v>43266</v>
      </c>
      <c r="C65" s="377">
        <v>14743</v>
      </c>
      <c r="D65" s="377">
        <f t="shared" si="5"/>
        <v>14890.43</v>
      </c>
      <c r="E65" s="231">
        <f t="shared" si="6"/>
        <v>95.950000000000728</v>
      </c>
      <c r="F65" s="344">
        <f t="shared" si="7"/>
        <v>7.2925250147145384</v>
      </c>
      <c r="G65" s="318">
        <v>12.6</v>
      </c>
      <c r="H65" s="240">
        <f t="shared" si="8"/>
        <v>13.15730831315587</v>
      </c>
      <c r="I65" s="370">
        <f>+(D65-D$2)/SUM($F$3:F65)</f>
        <v>16.903303187814817</v>
      </c>
      <c r="J65" s="237">
        <v>12.39</v>
      </c>
      <c r="K65" s="232">
        <v>1.6990000000000001</v>
      </c>
      <c r="L65" s="320">
        <f t="shared" si="9"/>
        <v>10.051289864011718</v>
      </c>
      <c r="M65" s="342" t="s">
        <v>115</v>
      </c>
      <c r="N65" s="343"/>
    </row>
    <row r="66" spans="1:14" s="378" customFormat="1" x14ac:dyDescent="0.3">
      <c r="A66" s="366">
        <v>64</v>
      </c>
      <c r="B66" s="367">
        <v>43266</v>
      </c>
      <c r="C66" s="377">
        <v>14973</v>
      </c>
      <c r="D66" s="377">
        <f t="shared" ref="D66:D97" si="10">+C66*1.01</f>
        <v>15122.73</v>
      </c>
      <c r="E66" s="231">
        <f t="shared" si="6"/>
        <v>232.29999999999927</v>
      </c>
      <c r="F66" s="344">
        <f t="shared" si="7"/>
        <v>15.84973166368515</v>
      </c>
      <c r="G66" s="318">
        <v>14.2</v>
      </c>
      <c r="H66" s="240">
        <f t="shared" si="8"/>
        <v>14.656399548532688</v>
      </c>
      <c r="I66" s="370">
        <f>+(D66-D$2)/SUM($F$3:F66)</f>
        <v>16.863566951520919</v>
      </c>
      <c r="J66" s="237">
        <v>26.58</v>
      </c>
      <c r="K66" s="232">
        <v>1.677</v>
      </c>
      <c r="L66" s="320">
        <f t="shared" si="9"/>
        <v>9.9445153259746863</v>
      </c>
      <c r="M66" s="342" t="s">
        <v>158</v>
      </c>
      <c r="N66" s="343"/>
    </row>
    <row r="67" spans="1:14" s="378" customFormat="1" x14ac:dyDescent="0.3">
      <c r="A67" s="376">
        <v>65</v>
      </c>
      <c r="B67" s="367">
        <v>43266</v>
      </c>
      <c r="C67" s="377">
        <v>15178</v>
      </c>
      <c r="D67" s="377">
        <f t="shared" si="10"/>
        <v>15329.78</v>
      </c>
      <c r="E67" s="231">
        <f t="shared" ref="E67:E98" si="11">+D67-D66</f>
        <v>207.05000000000109</v>
      </c>
      <c r="F67" s="344">
        <f t="shared" ref="F67:F98" si="12">+J67/K67</f>
        <v>13.642899940083883</v>
      </c>
      <c r="G67" s="318">
        <v>15</v>
      </c>
      <c r="H67" s="240">
        <f t="shared" ref="H67:H98" si="13">+E67/F67</f>
        <v>15.17639218269661</v>
      </c>
      <c r="I67" s="370">
        <f>+(D67-D$2)/SUM($F$3:F67)</f>
        <v>16.838268969278978</v>
      </c>
      <c r="J67" s="237">
        <v>22.77</v>
      </c>
      <c r="K67" s="232">
        <v>1.669</v>
      </c>
      <c r="L67" s="320">
        <f t="shared" ref="L67:L98" si="14">+K67/I67*100</f>
        <v>9.9119452423824033</v>
      </c>
      <c r="M67" s="342" t="s">
        <v>159</v>
      </c>
      <c r="N67" s="343"/>
    </row>
    <row r="68" spans="1:14" s="378" customFormat="1" x14ac:dyDescent="0.3">
      <c r="A68" s="366">
        <v>66</v>
      </c>
      <c r="B68" s="367">
        <v>43266</v>
      </c>
      <c r="C68" s="377">
        <v>15343</v>
      </c>
      <c r="D68" s="377">
        <f t="shared" si="10"/>
        <v>15496.43</v>
      </c>
      <c r="E68" s="231">
        <f t="shared" si="11"/>
        <v>166.64999999999964</v>
      </c>
      <c r="F68" s="344">
        <f t="shared" si="12"/>
        <v>9.5818610129564199</v>
      </c>
      <c r="G68" s="318">
        <v>17.100000000000001</v>
      </c>
      <c r="H68" s="240">
        <f t="shared" si="13"/>
        <v>17.39223724646585</v>
      </c>
      <c r="I68" s="370">
        <f>+(D68-D$2)/SUM($F$3:F68)</f>
        <v>16.844042005014348</v>
      </c>
      <c r="J68" s="237">
        <v>16.27</v>
      </c>
      <c r="K68" s="232">
        <v>1.698</v>
      </c>
      <c r="L68" s="320">
        <f t="shared" si="14"/>
        <v>10.080715777688738</v>
      </c>
      <c r="M68" s="342" t="s">
        <v>160</v>
      </c>
      <c r="N68" s="343"/>
    </row>
    <row r="69" spans="1:14" s="378" customFormat="1" x14ac:dyDescent="0.3">
      <c r="A69" s="366">
        <v>67</v>
      </c>
      <c r="B69" s="367">
        <v>43267</v>
      </c>
      <c r="C69" s="377">
        <v>15596</v>
      </c>
      <c r="D69" s="377">
        <f t="shared" si="10"/>
        <v>15751.960000000001</v>
      </c>
      <c r="E69" s="231">
        <f t="shared" si="11"/>
        <v>255.53000000000065</v>
      </c>
      <c r="F69" s="344">
        <f t="shared" si="12"/>
        <v>15.579553635709143</v>
      </c>
      <c r="G69" s="318">
        <v>16.2</v>
      </c>
      <c r="H69" s="240">
        <f t="shared" si="13"/>
        <v>16.401625231053647</v>
      </c>
      <c r="I69" s="370">
        <f>+(D69-D$2)/SUM($F$3:F69)</f>
        <v>16.836670453622983</v>
      </c>
      <c r="J69" s="237">
        <v>21.64</v>
      </c>
      <c r="K69" s="232">
        <v>1.389</v>
      </c>
      <c r="L69" s="320">
        <f t="shared" si="14"/>
        <v>8.2498496589692962</v>
      </c>
      <c r="M69" s="342" t="s">
        <v>146</v>
      </c>
      <c r="N69" s="343"/>
    </row>
    <row r="70" spans="1:14" s="378" customFormat="1" x14ac:dyDescent="0.3">
      <c r="A70" s="376">
        <v>68</v>
      </c>
      <c r="B70" s="367">
        <v>43267</v>
      </c>
      <c r="C70" s="377">
        <v>15857</v>
      </c>
      <c r="D70" s="377">
        <f t="shared" si="10"/>
        <v>16015.57</v>
      </c>
      <c r="E70" s="231">
        <f t="shared" si="11"/>
        <v>263.60999999999876</v>
      </c>
      <c r="F70" s="344">
        <f t="shared" si="12"/>
        <v>14.711842938568715</v>
      </c>
      <c r="G70" s="318">
        <v>17.2</v>
      </c>
      <c r="H70" s="240">
        <f t="shared" si="13"/>
        <v>17.918217391304264</v>
      </c>
      <c r="I70" s="370">
        <f>+(D70-D$2)/SUM($F$3:F70)</f>
        <v>16.853423923164193</v>
      </c>
      <c r="J70" s="237">
        <v>23.23</v>
      </c>
      <c r="K70" s="232">
        <v>1.579</v>
      </c>
      <c r="L70" s="320">
        <f t="shared" si="14"/>
        <v>9.3690160954756667</v>
      </c>
      <c r="M70" s="342" t="s">
        <v>161</v>
      </c>
      <c r="N70" s="343"/>
    </row>
    <row r="71" spans="1:14" s="378" customFormat="1" x14ac:dyDescent="0.3">
      <c r="A71" s="366">
        <v>69</v>
      </c>
      <c r="B71" s="367">
        <v>43267</v>
      </c>
      <c r="C71" s="377">
        <v>16097</v>
      </c>
      <c r="D71" s="377">
        <f t="shared" si="10"/>
        <v>16257.97</v>
      </c>
      <c r="E71" s="231">
        <f t="shared" si="11"/>
        <v>242.39999999999964</v>
      </c>
      <c r="F71" s="344">
        <f t="shared" si="12"/>
        <v>14.469375379017587</v>
      </c>
      <c r="G71" s="318">
        <v>16.2</v>
      </c>
      <c r="H71" s="240">
        <f t="shared" si="13"/>
        <v>16.752623637887652</v>
      </c>
      <c r="I71" s="370">
        <f>+(D71-D$2)/SUM($F$3:F71)</f>
        <v>16.85191127725399</v>
      </c>
      <c r="J71" s="237">
        <v>23.86</v>
      </c>
      <c r="K71" s="232">
        <v>1.649</v>
      </c>
      <c r="L71" s="320">
        <f t="shared" si="14"/>
        <v>9.7852402191658339</v>
      </c>
      <c r="M71" s="342" t="s">
        <v>161</v>
      </c>
      <c r="N71" s="343"/>
    </row>
    <row r="72" spans="1:14" s="378" customFormat="1" x14ac:dyDescent="0.3">
      <c r="A72" s="366">
        <v>70</v>
      </c>
      <c r="B72" s="367">
        <v>43267</v>
      </c>
      <c r="C72" s="377">
        <v>16351</v>
      </c>
      <c r="D72" s="377">
        <f t="shared" si="10"/>
        <v>16514.509999999998</v>
      </c>
      <c r="E72" s="231">
        <f t="shared" si="11"/>
        <v>256.53999999999905</v>
      </c>
      <c r="F72" s="344">
        <f t="shared" si="12"/>
        <v>17.442778216258883</v>
      </c>
      <c r="G72" s="318">
        <v>14.2</v>
      </c>
      <c r="H72" s="240">
        <f t="shared" si="13"/>
        <v>14.707519457013516</v>
      </c>
      <c r="I72" s="370">
        <f>+(D72-D$2)/SUM($F$3:F72)</f>
        <v>16.813808264908015</v>
      </c>
      <c r="J72" s="237">
        <v>22.1</v>
      </c>
      <c r="K72" s="232">
        <v>1.2669999999999999</v>
      </c>
      <c r="L72" s="320">
        <f t="shared" si="14"/>
        <v>7.5354731066152745</v>
      </c>
      <c r="M72" s="342" t="s">
        <v>162</v>
      </c>
      <c r="N72" s="343"/>
    </row>
    <row r="73" spans="1:14" s="378" customFormat="1" x14ac:dyDescent="0.3">
      <c r="A73" s="376">
        <v>71</v>
      </c>
      <c r="B73" s="367">
        <v>43267</v>
      </c>
      <c r="C73" s="377">
        <v>16585</v>
      </c>
      <c r="D73" s="377">
        <f t="shared" si="10"/>
        <v>16750.849999999999</v>
      </c>
      <c r="E73" s="231">
        <f t="shared" si="11"/>
        <v>236.34000000000015</v>
      </c>
      <c r="F73" s="344">
        <f t="shared" si="12"/>
        <v>14.812869336835194</v>
      </c>
      <c r="G73" s="318">
        <v>15.4</v>
      </c>
      <c r="H73" s="240">
        <f t="shared" si="13"/>
        <v>15.955045212765967</v>
      </c>
      <c r="I73" s="370">
        <f>+(D73-D$2)/SUM($F$3:F73)</f>
        <v>16.801042475940815</v>
      </c>
      <c r="J73" s="237">
        <v>22.56</v>
      </c>
      <c r="K73" s="232">
        <v>1.5229999999999999</v>
      </c>
      <c r="L73" s="320">
        <f t="shared" si="14"/>
        <v>9.0649136931886467</v>
      </c>
      <c r="M73" s="342" t="s">
        <v>163</v>
      </c>
      <c r="N73" s="343"/>
    </row>
    <row r="74" spans="1:14" s="378" customFormat="1" x14ac:dyDescent="0.3">
      <c r="A74" s="366">
        <v>72</v>
      </c>
      <c r="B74" s="367">
        <v>43268</v>
      </c>
      <c r="C74" s="377">
        <v>16794</v>
      </c>
      <c r="D74" s="377">
        <f t="shared" si="10"/>
        <v>16961.939999999999</v>
      </c>
      <c r="E74" s="231">
        <f t="shared" si="11"/>
        <v>211.09000000000015</v>
      </c>
      <c r="F74" s="344">
        <f t="shared" si="12"/>
        <v>14.266873545384019</v>
      </c>
      <c r="G74" s="318">
        <v>14.4</v>
      </c>
      <c r="H74" s="240">
        <f t="shared" si="13"/>
        <v>14.795813485590005</v>
      </c>
      <c r="I74" s="370">
        <f>+(D74-D$2)/SUM($F$3:F74)</f>
        <v>16.772738070785579</v>
      </c>
      <c r="J74" s="237">
        <f>1.14*18.39</f>
        <v>20.964599999999997</v>
      </c>
      <c r="K74" s="232">
        <f>1.14*1.289</f>
        <v>1.4694599999999998</v>
      </c>
      <c r="L74" s="320">
        <f t="shared" si="14"/>
        <v>8.7610024898646444</v>
      </c>
      <c r="M74" s="342" t="s">
        <v>164</v>
      </c>
      <c r="N74" s="343" t="s">
        <v>165</v>
      </c>
    </row>
    <row r="75" spans="1:14" s="378" customFormat="1" x14ac:dyDescent="0.3">
      <c r="A75" s="366">
        <v>73</v>
      </c>
      <c r="B75" s="367">
        <v>43268</v>
      </c>
      <c r="C75" s="377">
        <v>17106</v>
      </c>
      <c r="D75" s="377">
        <f t="shared" si="10"/>
        <v>17277.060000000001</v>
      </c>
      <c r="E75" s="231">
        <f t="shared" si="11"/>
        <v>315.12000000000262</v>
      </c>
      <c r="F75" s="344">
        <f t="shared" si="12"/>
        <v>17.073337902673064</v>
      </c>
      <c r="G75" s="318">
        <v>18.2</v>
      </c>
      <c r="H75" s="240">
        <f t="shared" si="13"/>
        <v>18.456847852268318</v>
      </c>
      <c r="I75" s="370">
        <f>+(D75-D$2)/SUM($F$3:F75)</f>
        <v>16.800713404244163</v>
      </c>
      <c r="J75" s="237">
        <f>1.14*24.91</f>
        <v>28.397399999999998</v>
      </c>
      <c r="K75" s="232">
        <f>1.14*1.459</f>
        <v>1.66326</v>
      </c>
      <c r="L75" s="320">
        <f t="shared" si="14"/>
        <v>9.8999367466135713</v>
      </c>
      <c r="M75" s="342" t="s">
        <v>164</v>
      </c>
      <c r="N75" s="343" t="s">
        <v>166</v>
      </c>
    </row>
    <row r="76" spans="1:14" s="378" customFormat="1" x14ac:dyDescent="0.3">
      <c r="A76" s="376">
        <v>74</v>
      </c>
      <c r="B76" s="367">
        <v>43268</v>
      </c>
      <c r="C76" s="377">
        <v>17404</v>
      </c>
      <c r="D76" s="377">
        <f t="shared" si="10"/>
        <v>17578.04</v>
      </c>
      <c r="E76" s="231">
        <f t="shared" si="11"/>
        <v>300.97999999999956</v>
      </c>
      <c r="F76" s="344">
        <f t="shared" si="12"/>
        <v>15.25017135023989</v>
      </c>
      <c r="G76" s="318">
        <v>19.3</v>
      </c>
      <c r="H76" s="240">
        <f t="shared" si="13"/>
        <v>19.736171685393231</v>
      </c>
      <c r="I76" s="370">
        <f>+(D76-D$2)/SUM($F$3:F76)</f>
        <v>16.843631511511859</v>
      </c>
      <c r="J76" s="237">
        <f>1.14*22.25</f>
        <v>25.364999999999998</v>
      </c>
      <c r="K76" s="232">
        <f>1.14*1.459</f>
        <v>1.66326</v>
      </c>
      <c r="L76" s="320">
        <f t="shared" si="14"/>
        <v>9.8747113938181155</v>
      </c>
      <c r="M76" s="342" t="s">
        <v>164</v>
      </c>
      <c r="N76" s="347" t="s">
        <v>167</v>
      </c>
    </row>
    <row r="77" spans="1:14" s="378" customFormat="1" x14ac:dyDescent="0.3">
      <c r="A77" s="366">
        <v>75</v>
      </c>
      <c r="B77" s="367">
        <v>43268</v>
      </c>
      <c r="C77" s="377">
        <v>17630</v>
      </c>
      <c r="D77" s="377">
        <f t="shared" si="10"/>
        <v>17806.3</v>
      </c>
      <c r="E77" s="231">
        <f t="shared" si="11"/>
        <v>228.2599999999984</v>
      </c>
      <c r="F77" s="344">
        <f t="shared" si="12"/>
        <v>12.607470049330516</v>
      </c>
      <c r="G77" s="318">
        <v>17.899999999999999</v>
      </c>
      <c r="H77" s="240">
        <f t="shared" si="13"/>
        <v>18.105139183901493</v>
      </c>
      <c r="I77" s="370">
        <f>+(D77-D$2)/SUM($F$3:F77)</f>
        <v>16.858697232754565</v>
      </c>
      <c r="J77" s="237">
        <f>1.14*17.89</f>
        <v>20.394600000000001</v>
      </c>
      <c r="K77" s="232">
        <f>1.14*1.419</f>
        <v>1.6176599999999999</v>
      </c>
      <c r="L77" s="320">
        <f t="shared" si="14"/>
        <v>9.5954033557057254</v>
      </c>
      <c r="M77" s="342" t="s">
        <v>164</v>
      </c>
      <c r="N77" s="343" t="s">
        <v>168</v>
      </c>
    </row>
    <row r="78" spans="1:14" s="378" customFormat="1" x14ac:dyDescent="0.3">
      <c r="A78" s="366">
        <v>76</v>
      </c>
      <c r="B78" s="367">
        <v>43269</v>
      </c>
      <c r="C78" s="377">
        <v>17844</v>
      </c>
      <c r="D78" s="377">
        <f t="shared" si="10"/>
        <v>18022.439999999999</v>
      </c>
      <c r="E78" s="231">
        <f t="shared" si="11"/>
        <v>216.13999999999942</v>
      </c>
      <c r="F78" s="344">
        <f t="shared" si="12"/>
        <v>11.832178598922248</v>
      </c>
      <c r="G78" s="318">
        <v>18.399999999999999</v>
      </c>
      <c r="H78" s="240">
        <f t="shared" si="13"/>
        <v>18.267134677943996</v>
      </c>
      <c r="I78" s="370">
        <f>+(D78-D$2)/SUM($F$3:F78)</f>
        <v>16.874308342344307</v>
      </c>
      <c r="J78" s="237">
        <f>1.14*15.37</f>
        <v>17.521799999999999</v>
      </c>
      <c r="K78" s="232">
        <f>1.14*1.299</f>
        <v>1.4808599999999998</v>
      </c>
      <c r="L78" s="320">
        <f t="shared" si="14"/>
        <v>8.7758263625178472</v>
      </c>
      <c r="M78" s="342" t="s">
        <v>164</v>
      </c>
      <c r="N78" s="343" t="s">
        <v>169</v>
      </c>
    </row>
    <row r="79" spans="1:14" s="378" customFormat="1" x14ac:dyDescent="0.3">
      <c r="A79" s="376">
        <v>77</v>
      </c>
      <c r="B79" s="367">
        <v>43270</v>
      </c>
      <c r="C79" s="377">
        <v>18094</v>
      </c>
      <c r="D79" s="377">
        <f t="shared" si="10"/>
        <v>18274.939999999999</v>
      </c>
      <c r="E79" s="231">
        <f t="shared" si="11"/>
        <v>252.5</v>
      </c>
      <c r="F79" s="344">
        <f t="shared" si="12"/>
        <v>14.468580294802171</v>
      </c>
      <c r="G79" s="318">
        <v>17.399999999999999</v>
      </c>
      <c r="H79" s="240">
        <f t="shared" si="13"/>
        <v>17.451608579088472</v>
      </c>
      <c r="I79" s="370">
        <f>+(D79-D$2)/SUM($F$3:F79)</f>
        <v>16.882028255064427</v>
      </c>
      <c r="J79" s="237">
        <f>1.14*18.65</f>
        <v>21.260999999999996</v>
      </c>
      <c r="K79" s="232">
        <f>1.14*1.289</f>
        <v>1.4694599999999998</v>
      </c>
      <c r="L79" s="320">
        <f t="shared" si="14"/>
        <v>8.7042858701482011</v>
      </c>
      <c r="M79" s="342" t="s">
        <v>164</v>
      </c>
      <c r="N79" s="343" t="s">
        <v>170</v>
      </c>
    </row>
    <row r="80" spans="1:14" s="378" customFormat="1" x14ac:dyDescent="0.3">
      <c r="A80" s="366">
        <v>78</v>
      </c>
      <c r="B80" s="367">
        <v>43271</v>
      </c>
      <c r="C80" s="377">
        <v>18265</v>
      </c>
      <c r="D80" s="377">
        <f t="shared" si="10"/>
        <v>18447.650000000001</v>
      </c>
      <c r="E80" s="231">
        <f t="shared" si="11"/>
        <v>172.71000000000276</v>
      </c>
      <c r="F80" s="344">
        <f t="shared" si="12"/>
        <v>9.3502613890963406</v>
      </c>
      <c r="G80" s="318">
        <v>18.2</v>
      </c>
      <c r="H80" s="240">
        <f t="shared" si="13"/>
        <v>18.471141373802212</v>
      </c>
      <c r="I80" s="370">
        <f>+(D80-D$2)/SUM($F$3:F80)</f>
        <v>16.895643526437436</v>
      </c>
      <c r="J80" s="237">
        <f>1.14*12.52</f>
        <v>14.272799999999998</v>
      </c>
      <c r="K80" s="232">
        <f>1.14*1.339</f>
        <v>1.5264599999999999</v>
      </c>
      <c r="L80" s="320">
        <f t="shared" si="14"/>
        <v>9.0346366364292283</v>
      </c>
      <c r="M80" s="342" t="s">
        <v>164</v>
      </c>
      <c r="N80" s="343" t="s">
        <v>171</v>
      </c>
    </row>
    <row r="81" spans="1:14" s="378" customFormat="1" x14ac:dyDescent="0.3">
      <c r="A81" s="366">
        <v>79</v>
      </c>
      <c r="B81" s="367">
        <v>43271</v>
      </c>
      <c r="C81" s="377">
        <v>18454</v>
      </c>
      <c r="D81" s="377">
        <f t="shared" si="10"/>
        <v>18638.54</v>
      </c>
      <c r="E81" s="231">
        <f t="shared" si="11"/>
        <v>190.88999999999942</v>
      </c>
      <c r="F81" s="344">
        <f t="shared" si="12"/>
        <v>11.038088125466764</v>
      </c>
      <c r="G81" s="318">
        <v>16.899999999999999</v>
      </c>
      <c r="H81" s="240">
        <f t="shared" si="13"/>
        <v>17.293755751014835</v>
      </c>
      <c r="I81" s="370">
        <f>+(D81-D$2)/SUM($F$3:F81)</f>
        <v>16.899629886566721</v>
      </c>
      <c r="J81" s="237">
        <f>1.14*14.78</f>
        <v>16.849199999999996</v>
      </c>
      <c r="K81" s="232">
        <f>1.14*1.339</f>
        <v>1.5264599999999999</v>
      </c>
      <c r="L81" s="320">
        <f t="shared" si="14"/>
        <v>9.0325055060132495</v>
      </c>
      <c r="M81" s="342" t="s">
        <v>164</v>
      </c>
      <c r="N81" s="343" t="s">
        <v>172</v>
      </c>
    </row>
    <row r="82" spans="1:14" s="378" customFormat="1" x14ac:dyDescent="0.3">
      <c r="A82" s="376">
        <v>80</v>
      </c>
      <c r="B82" s="367">
        <v>43272</v>
      </c>
      <c r="C82" s="377">
        <v>18835</v>
      </c>
      <c r="D82" s="377">
        <f t="shared" si="10"/>
        <v>19023.349999999999</v>
      </c>
      <c r="E82" s="231">
        <f t="shared" si="11"/>
        <v>384.80999999999767</v>
      </c>
      <c r="F82" s="344">
        <f t="shared" si="12"/>
        <v>21.139622641509437</v>
      </c>
      <c r="G82" s="318">
        <v>18</v>
      </c>
      <c r="H82" s="240">
        <f t="shared" si="13"/>
        <v>18.203257765083787</v>
      </c>
      <c r="I82" s="370">
        <f>+(D82-D$2)/SUM($F$3:F82)</f>
        <v>16.924158812613168</v>
      </c>
      <c r="J82" s="237">
        <f>1.14*(18.01+10)</f>
        <v>31.9314</v>
      </c>
      <c r="K82" s="232">
        <f>1.14*1.325</f>
        <v>1.5104999999999997</v>
      </c>
      <c r="L82" s="320">
        <f t="shared" si="14"/>
        <v>8.9251112372820582</v>
      </c>
      <c r="M82" s="342" t="s">
        <v>164</v>
      </c>
      <c r="N82" s="343" t="s">
        <v>173</v>
      </c>
    </row>
    <row r="83" spans="1:14" s="378" customFormat="1" x14ac:dyDescent="0.3">
      <c r="A83" s="366">
        <v>81</v>
      </c>
      <c r="B83" s="367">
        <v>43273</v>
      </c>
      <c r="C83" s="377">
        <v>19133</v>
      </c>
      <c r="D83" s="377">
        <f t="shared" si="10"/>
        <v>19324.330000000002</v>
      </c>
      <c r="E83" s="231">
        <f t="shared" si="11"/>
        <v>300.9800000000032</v>
      </c>
      <c r="F83" s="344">
        <f t="shared" si="12"/>
        <v>16.806722689075631</v>
      </c>
      <c r="G83" s="318">
        <v>17.8</v>
      </c>
      <c r="H83" s="240">
        <f t="shared" si="13"/>
        <v>17.908310000000188</v>
      </c>
      <c r="I83" s="370">
        <f>+(D83-D$2)/SUM($F$3:F83)</f>
        <v>16.938664018583445</v>
      </c>
      <c r="J83" s="237">
        <f>1.14*22</f>
        <v>25.08</v>
      </c>
      <c r="K83" s="232">
        <f>1.14*1.309</f>
        <v>1.4922599999999997</v>
      </c>
      <c r="L83" s="320">
        <f t="shared" si="14"/>
        <v>8.8097856971650064</v>
      </c>
      <c r="M83" s="342" t="s">
        <v>164</v>
      </c>
      <c r="N83" s="343" t="s">
        <v>174</v>
      </c>
    </row>
    <row r="84" spans="1:14" s="378" customFormat="1" x14ac:dyDescent="0.3">
      <c r="A84" s="366">
        <v>82</v>
      </c>
      <c r="B84" s="367">
        <v>43274</v>
      </c>
      <c r="C84" s="377">
        <v>19345</v>
      </c>
      <c r="D84" s="377">
        <f t="shared" si="10"/>
        <v>19538.45</v>
      </c>
      <c r="E84" s="231">
        <f t="shared" si="11"/>
        <v>214.11999999999898</v>
      </c>
      <c r="F84" s="344">
        <f t="shared" si="12"/>
        <v>12.972572275759823</v>
      </c>
      <c r="G84" s="318">
        <v>16.3</v>
      </c>
      <c r="H84" s="240">
        <f t="shared" si="13"/>
        <v>16.505593142857062</v>
      </c>
      <c r="I84" s="370">
        <f>+(D84-D$2)/SUM($F$3:F84)</f>
        <v>16.93379264649365</v>
      </c>
      <c r="J84" s="237">
        <f>1.14*17.5</f>
        <v>19.95</v>
      </c>
      <c r="K84" s="232">
        <f>1.14*1.349</f>
        <v>1.5378599999999998</v>
      </c>
      <c r="L84" s="320">
        <f t="shared" si="14"/>
        <v>9.081604057071246</v>
      </c>
      <c r="M84" s="342" t="s">
        <v>164</v>
      </c>
      <c r="N84" s="343" t="s">
        <v>175</v>
      </c>
    </row>
    <row r="85" spans="1:14" s="378" customFormat="1" x14ac:dyDescent="0.3">
      <c r="A85" s="376">
        <v>83</v>
      </c>
      <c r="B85" s="367">
        <v>43275</v>
      </c>
      <c r="C85" s="377">
        <v>19565</v>
      </c>
      <c r="D85" s="377">
        <f t="shared" si="10"/>
        <v>19760.650000000001</v>
      </c>
      <c r="E85" s="231">
        <f t="shared" si="11"/>
        <v>222.20000000000073</v>
      </c>
      <c r="F85" s="344">
        <f t="shared" si="12"/>
        <v>13.343217197924391</v>
      </c>
      <c r="G85" s="318">
        <v>16.8</v>
      </c>
      <c r="H85" s="240">
        <f t="shared" si="13"/>
        <v>16.652655555555608</v>
      </c>
      <c r="I85" s="370">
        <f>+(D85-D$2)/SUM($F$3:F85)</f>
        <v>16.930577142430906</v>
      </c>
      <c r="J85" s="237">
        <f>1.14*18</f>
        <v>20.52</v>
      </c>
      <c r="K85" s="232">
        <f>1.14*1.349</f>
        <v>1.5378599999999998</v>
      </c>
      <c r="L85" s="320">
        <f t="shared" si="14"/>
        <v>9.083328861518023</v>
      </c>
      <c r="M85" s="342" t="s">
        <v>164</v>
      </c>
      <c r="N85" s="343" t="s">
        <v>176</v>
      </c>
    </row>
    <row r="86" spans="1:14" s="378" customFormat="1" x14ac:dyDescent="0.3">
      <c r="A86" s="366">
        <v>84</v>
      </c>
      <c r="B86" s="367">
        <v>43276</v>
      </c>
      <c r="C86" s="377">
        <v>19817</v>
      </c>
      <c r="D86" s="377">
        <f t="shared" si="10"/>
        <v>20015.170000000002</v>
      </c>
      <c r="E86" s="231">
        <f t="shared" si="11"/>
        <v>254.52000000000044</v>
      </c>
      <c r="F86" s="344">
        <f t="shared" si="12"/>
        <v>15.758028379387602</v>
      </c>
      <c r="G86" s="318">
        <v>16.2</v>
      </c>
      <c r="H86" s="240">
        <f t="shared" si="13"/>
        <v>16.151766824644579</v>
      </c>
      <c r="I86" s="370">
        <f>+(D86-D$2)/SUM($F$3:F86)</f>
        <v>16.92019762876696</v>
      </c>
      <c r="J86" s="237">
        <f>1.14*21.1</f>
        <v>24.053999999999998</v>
      </c>
      <c r="K86" s="232">
        <f>1.14*1.339</f>
        <v>1.5264599999999999</v>
      </c>
      <c r="L86" s="320">
        <f t="shared" si="14"/>
        <v>9.0215258325634515</v>
      </c>
      <c r="M86" s="342" t="s">
        <v>164</v>
      </c>
      <c r="N86" s="343" t="s">
        <v>177</v>
      </c>
    </row>
    <row r="87" spans="1:14" s="378" customFormat="1" x14ac:dyDescent="0.3">
      <c r="A87" s="366">
        <v>85</v>
      </c>
      <c r="B87" s="367">
        <v>43277</v>
      </c>
      <c r="C87" s="377">
        <v>20098</v>
      </c>
      <c r="D87" s="377">
        <f t="shared" si="10"/>
        <v>20298.98</v>
      </c>
      <c r="E87" s="231">
        <f t="shared" si="11"/>
        <v>283.80999999999767</v>
      </c>
      <c r="F87" s="344">
        <f t="shared" si="12"/>
        <v>15.246166263115413</v>
      </c>
      <c r="G87" s="318">
        <v>18.399999999999999</v>
      </c>
      <c r="H87" s="240">
        <f t="shared" si="13"/>
        <v>18.615171519322242</v>
      </c>
      <c r="I87" s="370">
        <f>+(D87-D$2)/SUM($F$3:F87)</f>
        <v>16.94177521629231</v>
      </c>
      <c r="J87" s="237">
        <f>1.14*18.89</f>
        <v>21.534599999999998</v>
      </c>
      <c r="K87" s="232">
        <f>1.14*1.239</f>
        <v>1.41246</v>
      </c>
      <c r="L87" s="320">
        <f t="shared" si="14"/>
        <v>8.337142843458853</v>
      </c>
      <c r="M87" s="342" t="s">
        <v>164</v>
      </c>
      <c r="N87" s="347" t="s">
        <v>178</v>
      </c>
    </row>
    <row r="88" spans="1:14" s="378" customFormat="1" x14ac:dyDescent="0.3">
      <c r="A88" s="376">
        <v>86</v>
      </c>
      <c r="B88" s="367">
        <v>43278</v>
      </c>
      <c r="C88" s="377">
        <v>20353</v>
      </c>
      <c r="D88" s="377">
        <f t="shared" si="10"/>
        <v>20556.53</v>
      </c>
      <c r="E88" s="231">
        <f t="shared" si="11"/>
        <v>257.54999999999927</v>
      </c>
      <c r="F88" s="344">
        <f t="shared" si="12"/>
        <v>13.279445727482679</v>
      </c>
      <c r="G88" s="318">
        <v>19.100000000000001</v>
      </c>
      <c r="H88" s="240">
        <f t="shared" si="13"/>
        <v>19.394634782608641</v>
      </c>
      <c r="I88" s="370">
        <f>+(D88-D$2)/SUM($F$3:F88)</f>
        <v>16.968674631212323</v>
      </c>
      <c r="J88" s="237">
        <f>1.14*17.25</f>
        <v>19.664999999999999</v>
      </c>
      <c r="K88" s="232">
        <f>1.14*1.299</f>
        <v>1.4808599999999998</v>
      </c>
      <c r="L88" s="320">
        <f t="shared" si="14"/>
        <v>8.7270221875554945</v>
      </c>
      <c r="M88" s="342" t="s">
        <v>164</v>
      </c>
      <c r="N88" s="343" t="s">
        <v>179</v>
      </c>
    </row>
    <row r="89" spans="1:14" s="378" customFormat="1" x14ac:dyDescent="0.3">
      <c r="A89" s="366">
        <v>87</v>
      </c>
      <c r="B89" s="367">
        <v>43279</v>
      </c>
      <c r="C89" s="377">
        <v>20737</v>
      </c>
      <c r="D89" s="377">
        <f t="shared" si="10"/>
        <v>20944.37</v>
      </c>
      <c r="E89" s="231">
        <f t="shared" si="11"/>
        <v>387.84000000000015</v>
      </c>
      <c r="F89" s="344">
        <f t="shared" si="12"/>
        <v>20.690457719162143</v>
      </c>
      <c r="G89" s="318">
        <v>18.7</v>
      </c>
      <c r="H89" s="240">
        <f t="shared" si="13"/>
        <v>18.744872890888644</v>
      </c>
      <c r="I89" s="370">
        <f>+(D89-D$2)/SUM($F$3:F89)</f>
        <v>16.998514281515249</v>
      </c>
      <c r="J89" s="237">
        <f>1.14*26.67</f>
        <v>30.4038</v>
      </c>
      <c r="K89" s="232">
        <f>1.14*1.289</f>
        <v>1.4694599999999998</v>
      </c>
      <c r="L89" s="320">
        <f t="shared" si="14"/>
        <v>8.6446378528383487</v>
      </c>
      <c r="M89" s="342" t="s">
        <v>164</v>
      </c>
      <c r="N89" s="347" t="s">
        <v>180</v>
      </c>
    </row>
    <row r="90" spans="1:14" s="378" customFormat="1" x14ac:dyDescent="0.3">
      <c r="A90" s="366">
        <v>88</v>
      </c>
      <c r="B90" s="367">
        <v>43280</v>
      </c>
      <c r="C90" s="377">
        <v>20950</v>
      </c>
      <c r="D90" s="377">
        <f t="shared" si="10"/>
        <v>21159.5</v>
      </c>
      <c r="E90" s="231">
        <f t="shared" si="11"/>
        <v>215.13000000000102</v>
      </c>
      <c r="F90" s="344">
        <f t="shared" si="12"/>
        <v>10.847975553857909</v>
      </c>
      <c r="G90" s="318">
        <v>19.8</v>
      </c>
      <c r="H90" s="240">
        <f t="shared" si="13"/>
        <v>19.831350000000089</v>
      </c>
      <c r="I90" s="370">
        <f>+(D90-D$2)/SUM($F$3:F90)</f>
        <v>17.023248245800279</v>
      </c>
      <c r="J90" s="237">
        <f>1.14*14.2</f>
        <v>16.187999999999999</v>
      </c>
      <c r="K90" s="232">
        <f>1.14*1.309</f>
        <v>1.4922599999999997</v>
      </c>
      <c r="L90" s="320">
        <f t="shared" si="14"/>
        <v>8.7660120938913515</v>
      </c>
      <c r="M90" s="342" t="s">
        <v>164</v>
      </c>
      <c r="N90" s="343" t="s">
        <v>181</v>
      </c>
    </row>
    <row r="91" spans="1:14" s="378" customFormat="1" x14ac:dyDescent="0.3">
      <c r="A91" s="376">
        <v>89</v>
      </c>
      <c r="B91" s="367">
        <v>43280</v>
      </c>
      <c r="C91" s="377">
        <v>21224</v>
      </c>
      <c r="D91" s="377">
        <f t="shared" si="10"/>
        <v>21436.240000000002</v>
      </c>
      <c r="E91" s="231">
        <f t="shared" si="11"/>
        <v>276.7400000000016</v>
      </c>
      <c r="F91" s="344">
        <f t="shared" si="12"/>
        <v>13.340857787810384</v>
      </c>
      <c r="G91" s="318">
        <v>20.399999999999999</v>
      </c>
      <c r="H91" s="240">
        <f t="shared" si="13"/>
        <v>20.743793570220085</v>
      </c>
      <c r="I91" s="370">
        <f>+(D91-D$2)/SUM($F$3:F91)</f>
        <v>17.062773581954055</v>
      </c>
      <c r="J91" s="237">
        <f>1.14*17.73</f>
        <v>20.212199999999999</v>
      </c>
      <c r="K91" s="232">
        <f>1.14*1.329</f>
        <v>1.5150599999999999</v>
      </c>
      <c r="L91" s="320">
        <f t="shared" si="14"/>
        <v>8.8793301553409751</v>
      </c>
      <c r="M91" s="342" t="s">
        <v>164</v>
      </c>
      <c r="N91" s="343" t="s">
        <v>182</v>
      </c>
    </row>
    <row r="92" spans="1:14" s="378" customFormat="1" x14ac:dyDescent="0.3">
      <c r="A92" s="366">
        <v>90</v>
      </c>
      <c r="B92" s="367">
        <v>43280</v>
      </c>
      <c r="C92" s="377">
        <v>21375</v>
      </c>
      <c r="D92" s="377">
        <f t="shared" si="10"/>
        <v>21588.75</v>
      </c>
      <c r="E92" s="231">
        <f t="shared" si="11"/>
        <v>152.5099999999984</v>
      </c>
      <c r="F92" s="344">
        <f t="shared" si="12"/>
        <v>7.1317829457364335</v>
      </c>
      <c r="G92" s="318">
        <v>20.399999999999999</v>
      </c>
      <c r="H92" s="240">
        <f t="shared" si="13"/>
        <v>21.384554347825866</v>
      </c>
      <c r="I92" s="370">
        <f>+(D92-D$2)/SUM($F$3:F92)</f>
        <v>17.087179020785154</v>
      </c>
      <c r="J92" s="237">
        <f>1.14*10.12</f>
        <v>11.536799999999998</v>
      </c>
      <c r="K92" s="232">
        <f>1.14*1.419</f>
        <v>1.6176599999999999</v>
      </c>
      <c r="L92" s="320">
        <f t="shared" si="14"/>
        <v>9.4670980975399672</v>
      </c>
      <c r="M92" s="342" t="s">
        <v>164</v>
      </c>
      <c r="N92" s="343" t="s">
        <v>183</v>
      </c>
    </row>
    <row r="93" spans="1:14" s="378" customFormat="1" x14ac:dyDescent="0.3">
      <c r="A93" s="366">
        <v>91</v>
      </c>
      <c r="B93" s="367">
        <v>43281</v>
      </c>
      <c r="C93" s="377">
        <v>21597</v>
      </c>
      <c r="D93" s="377">
        <f t="shared" si="10"/>
        <v>21812.97</v>
      </c>
      <c r="E93" s="231">
        <f t="shared" si="11"/>
        <v>224.22000000000116</v>
      </c>
      <c r="F93" s="344">
        <f t="shared" si="12"/>
        <v>13.69953673064196</v>
      </c>
      <c r="G93" s="318">
        <v>16.100000000000001</v>
      </c>
      <c r="H93" s="240">
        <f t="shared" si="13"/>
        <v>16.366976811594288</v>
      </c>
      <c r="I93" s="370">
        <f>+(D93-D$2)/SUM($F$3:F93)</f>
        <v>17.079450427749382</v>
      </c>
      <c r="J93" s="237">
        <v>20.7</v>
      </c>
      <c r="K93" s="232">
        <v>1.5109999999999999</v>
      </c>
      <c r="L93" s="320">
        <f t="shared" si="14"/>
        <v>8.8468888761493343</v>
      </c>
      <c r="M93" s="342" t="s">
        <v>163</v>
      </c>
      <c r="N93" s="343"/>
    </row>
    <row r="94" spans="1:14" s="378" customFormat="1" x14ac:dyDescent="0.3">
      <c r="A94" s="376">
        <v>92</v>
      </c>
      <c r="B94" s="367">
        <v>43281</v>
      </c>
      <c r="C94" s="377">
        <v>21849</v>
      </c>
      <c r="D94" s="377">
        <f t="shared" si="10"/>
        <v>22067.49</v>
      </c>
      <c r="E94" s="231">
        <f t="shared" si="11"/>
        <v>254.52000000000044</v>
      </c>
      <c r="F94" s="344">
        <f t="shared" si="12"/>
        <v>15.112976113621691</v>
      </c>
      <c r="G94" s="318">
        <v>16.3</v>
      </c>
      <c r="H94" s="240">
        <f t="shared" si="13"/>
        <v>16.84115677061088</v>
      </c>
      <c r="I94" s="370">
        <f>+(D94-D$2)/SUM($F$3:F94)</f>
        <v>17.076662436128352</v>
      </c>
      <c r="J94" s="237">
        <v>23.41</v>
      </c>
      <c r="K94" s="232">
        <v>1.5489999999999999</v>
      </c>
      <c r="L94" s="320">
        <f t="shared" si="14"/>
        <v>9.0708591669695835</v>
      </c>
      <c r="M94" s="342" t="s">
        <v>161</v>
      </c>
      <c r="N94" s="343"/>
    </row>
    <row r="95" spans="1:14" s="378" customFormat="1" x14ac:dyDescent="0.3">
      <c r="A95" s="366">
        <v>93</v>
      </c>
      <c r="B95" s="367">
        <v>43281</v>
      </c>
      <c r="C95" s="377">
        <v>21992</v>
      </c>
      <c r="D95" s="377">
        <f t="shared" si="10"/>
        <v>22211.920000000002</v>
      </c>
      <c r="E95" s="231">
        <f t="shared" si="11"/>
        <v>144.43000000000029</v>
      </c>
      <c r="F95" s="344">
        <f t="shared" si="12"/>
        <v>9.3370165745856362</v>
      </c>
      <c r="G95" s="318">
        <v>14.5</v>
      </c>
      <c r="H95" s="240">
        <f t="shared" si="13"/>
        <v>15.468538461538492</v>
      </c>
      <c r="I95" s="370">
        <f>+(D95-D$2)/SUM($F$3:F95)</f>
        <v>17.065121827433764</v>
      </c>
      <c r="J95" s="237">
        <v>15.21</v>
      </c>
      <c r="K95" s="232">
        <v>1.629</v>
      </c>
      <c r="L95" s="320">
        <f t="shared" si="14"/>
        <v>9.5457859397243308</v>
      </c>
      <c r="M95" s="342" t="s">
        <v>161</v>
      </c>
      <c r="N95" s="343"/>
    </row>
    <row r="96" spans="1:14" s="378" customFormat="1" x14ac:dyDescent="0.3">
      <c r="A96" s="366">
        <v>94</v>
      </c>
      <c r="B96" s="367">
        <v>43281</v>
      </c>
      <c r="C96" s="377">
        <v>22253</v>
      </c>
      <c r="D96" s="377">
        <f t="shared" si="10"/>
        <v>22475.53</v>
      </c>
      <c r="E96" s="231">
        <f t="shared" si="11"/>
        <v>263.60999999999694</v>
      </c>
      <c r="F96" s="344">
        <f t="shared" si="12"/>
        <v>16.411024565608148</v>
      </c>
      <c r="G96" s="318">
        <v>15.4</v>
      </c>
      <c r="H96" s="240">
        <f t="shared" si="13"/>
        <v>16.062982475355785</v>
      </c>
      <c r="I96" s="370">
        <f>+(D96-D$2)/SUM($F$3:F96)</f>
        <v>17.052638764959955</v>
      </c>
      <c r="J96" s="237">
        <v>27.39</v>
      </c>
      <c r="K96" s="232">
        <v>1.669</v>
      </c>
      <c r="L96" s="320">
        <f t="shared" si="14"/>
        <v>9.7873415546073073</v>
      </c>
      <c r="M96" s="342" t="s">
        <v>161</v>
      </c>
      <c r="N96" s="343"/>
    </row>
    <row r="97" spans="1:14" s="378" customFormat="1" x14ac:dyDescent="0.3">
      <c r="A97" s="379">
        <v>95</v>
      </c>
      <c r="B97" s="372">
        <v>43281</v>
      </c>
      <c r="C97" s="380">
        <v>22544</v>
      </c>
      <c r="D97" s="380">
        <f t="shared" si="10"/>
        <v>22769.439999999999</v>
      </c>
      <c r="E97" s="329">
        <f t="shared" si="11"/>
        <v>293.90999999999985</v>
      </c>
      <c r="F97" s="374">
        <f t="shared" si="12"/>
        <v>19.502762430939224</v>
      </c>
      <c r="G97" s="330">
        <v>14.3</v>
      </c>
      <c r="H97" s="331">
        <f t="shared" si="13"/>
        <v>15.070172804532572</v>
      </c>
      <c r="I97" s="375">
        <f>+(D97-D$2)/SUM($F$3:F97)</f>
        <v>17.023720155587359</v>
      </c>
      <c r="J97" s="332">
        <v>31.77</v>
      </c>
      <c r="K97" s="339">
        <v>1.629</v>
      </c>
      <c r="L97" s="333">
        <f t="shared" si="14"/>
        <v>9.5690012823979931</v>
      </c>
      <c r="M97" s="345" t="s">
        <v>146</v>
      </c>
      <c r="N97" s="346" t="s">
        <v>184</v>
      </c>
    </row>
    <row r="98" spans="1:14" s="378" customFormat="1" x14ac:dyDescent="0.3">
      <c r="A98" s="366">
        <v>96</v>
      </c>
      <c r="B98" s="367">
        <v>43282</v>
      </c>
      <c r="C98" s="377">
        <v>22856</v>
      </c>
      <c r="D98" s="377">
        <f t="shared" ref="D98:D116" si="15">+C98*1.01</f>
        <v>23084.560000000001</v>
      </c>
      <c r="E98" s="231">
        <f t="shared" si="11"/>
        <v>315.12000000000262</v>
      </c>
      <c r="F98" s="344">
        <f t="shared" si="12"/>
        <v>16.967551622418878</v>
      </c>
      <c r="G98" s="318">
        <v>18</v>
      </c>
      <c r="H98" s="240">
        <f t="shared" si="13"/>
        <v>18.571919332406274</v>
      </c>
      <c r="I98" s="370">
        <f>+(D98-D$2)/SUM($F$3:F98)</f>
        <v>17.043122071165161</v>
      </c>
      <c r="J98" s="237">
        <v>28.76</v>
      </c>
      <c r="K98" s="232">
        <v>1.6950000000000001</v>
      </c>
      <c r="L98" s="320">
        <f t="shared" si="14"/>
        <v>9.9453609081855294</v>
      </c>
      <c r="M98" s="342" t="s">
        <v>160</v>
      </c>
      <c r="N98" s="343"/>
    </row>
    <row r="99" spans="1:14" s="378" customFormat="1" x14ac:dyDescent="0.3">
      <c r="A99" s="366">
        <v>97</v>
      </c>
      <c r="B99" s="367">
        <v>43282</v>
      </c>
      <c r="C99" s="377">
        <v>23108</v>
      </c>
      <c r="D99" s="377">
        <f t="shared" si="15"/>
        <v>23339.08</v>
      </c>
      <c r="E99" s="231">
        <f t="shared" ref="E99:E130" si="16">+D99-D98</f>
        <v>254.52000000000044</v>
      </c>
      <c r="F99" s="344">
        <f t="shared" ref="F99:F108" si="17">+J99/K99</f>
        <v>15.562835020845741</v>
      </c>
      <c r="G99" s="318">
        <v>15.9</v>
      </c>
      <c r="H99" s="240">
        <f t="shared" ref="H99:H116" si="18">+E99/F99</f>
        <v>16.354346727898996</v>
      </c>
      <c r="I99" s="370">
        <f>+(D99-D$2)/SUM($F$3:F99)</f>
        <v>17.035294961648599</v>
      </c>
      <c r="J99" s="237">
        <v>26.13</v>
      </c>
      <c r="K99" s="232">
        <v>1.679</v>
      </c>
      <c r="L99" s="320">
        <f t="shared" ref="L99:L108" si="19">+K99/I99*100</f>
        <v>9.8560077989839172</v>
      </c>
      <c r="M99" s="342" t="s">
        <v>150</v>
      </c>
      <c r="N99" s="343"/>
    </row>
    <row r="100" spans="1:14" s="378" customFormat="1" x14ac:dyDescent="0.3">
      <c r="A100" s="376">
        <v>98</v>
      </c>
      <c r="B100" s="367">
        <v>43282</v>
      </c>
      <c r="C100" s="377">
        <v>23392</v>
      </c>
      <c r="D100" s="377">
        <f t="shared" si="15"/>
        <v>23625.920000000002</v>
      </c>
      <c r="E100" s="231">
        <f t="shared" si="16"/>
        <v>286.84000000000015</v>
      </c>
      <c r="F100" s="344">
        <f t="shared" si="17"/>
        <v>19.252225519287833</v>
      </c>
      <c r="G100" s="318">
        <v>14.4</v>
      </c>
      <c r="H100" s="240">
        <f t="shared" si="18"/>
        <v>14.899056720098651</v>
      </c>
      <c r="I100" s="370">
        <f>+(D100-D$2)/SUM($F$3:F100)</f>
        <v>17.00568055477321</v>
      </c>
      <c r="J100" s="237">
        <v>32.44</v>
      </c>
      <c r="K100" s="232">
        <v>1.6850000000000001</v>
      </c>
      <c r="L100" s="320">
        <f t="shared" si="19"/>
        <v>9.9084537932652665</v>
      </c>
      <c r="M100" s="342" t="s">
        <v>152</v>
      </c>
      <c r="N100" s="347" t="s">
        <v>129</v>
      </c>
    </row>
    <row r="101" spans="1:14" s="378" customFormat="1" x14ac:dyDescent="0.3">
      <c r="A101" s="366">
        <v>99</v>
      </c>
      <c r="B101" s="367">
        <v>43282</v>
      </c>
      <c r="C101" s="377">
        <v>23693</v>
      </c>
      <c r="D101" s="377">
        <f t="shared" si="15"/>
        <v>23929.93</v>
      </c>
      <c r="E101" s="231">
        <f t="shared" si="16"/>
        <v>304.0099999999984</v>
      </c>
      <c r="F101" s="344">
        <f t="shared" si="17"/>
        <v>19.778941244909831</v>
      </c>
      <c r="G101" s="318">
        <v>14.8</v>
      </c>
      <c r="H101" s="240">
        <f t="shared" si="18"/>
        <v>15.370387941176389</v>
      </c>
      <c r="I101" s="370">
        <f>+(D101-D$2)/SUM($F$3:F101)</f>
        <v>16.982717520439834</v>
      </c>
      <c r="J101" s="237">
        <v>34</v>
      </c>
      <c r="K101" s="232">
        <v>1.7190000000000001</v>
      </c>
      <c r="L101" s="320">
        <f t="shared" si="19"/>
        <v>10.122054953402298</v>
      </c>
      <c r="M101" s="342" t="s">
        <v>185</v>
      </c>
      <c r="N101" s="343"/>
    </row>
    <row r="102" spans="1:14" s="378" customFormat="1" x14ac:dyDescent="0.3">
      <c r="A102" s="376">
        <v>100</v>
      </c>
      <c r="B102" s="367">
        <v>43283</v>
      </c>
      <c r="C102" s="377">
        <v>23846</v>
      </c>
      <c r="D102" s="377">
        <f t="shared" si="15"/>
        <v>24084.46</v>
      </c>
      <c r="E102" s="231">
        <f t="shared" si="16"/>
        <v>154.52999999999884</v>
      </c>
      <c r="F102" s="344">
        <f t="shared" si="17"/>
        <v>7.7721837633731905</v>
      </c>
      <c r="G102" s="318">
        <v>19.600000000000001</v>
      </c>
      <c r="H102" s="240">
        <f t="shared" si="18"/>
        <v>19.882442914979606</v>
      </c>
      <c r="I102" s="370">
        <f>+(D102-D$2)/SUM($F$3:F102)</f>
        <v>16.998630110910597</v>
      </c>
      <c r="J102" s="237">
        <v>12.35</v>
      </c>
      <c r="K102" s="232">
        <v>1.589</v>
      </c>
      <c r="L102" s="320">
        <f t="shared" si="19"/>
        <v>9.3478120862227474</v>
      </c>
      <c r="M102" s="342" t="s">
        <v>89</v>
      </c>
      <c r="N102" s="343"/>
    </row>
    <row r="103" spans="1:14" x14ac:dyDescent="0.3">
      <c r="A103" s="376">
        <v>101</v>
      </c>
      <c r="B103" s="367">
        <v>43294</v>
      </c>
      <c r="C103" s="377">
        <v>24139</v>
      </c>
      <c r="D103" s="377">
        <f t="shared" si="15"/>
        <v>24380.39</v>
      </c>
      <c r="E103" s="231">
        <f t="shared" si="16"/>
        <v>295.93000000000029</v>
      </c>
      <c r="F103" s="344">
        <f t="shared" si="17"/>
        <v>15.839138695376823</v>
      </c>
      <c r="G103" s="318">
        <v>18.8</v>
      </c>
      <c r="H103" s="240">
        <f t="shared" si="18"/>
        <v>18.683465413834483</v>
      </c>
      <c r="I103" s="370">
        <f>+(D103-D$2)/SUM($F$3:F103)</f>
        <v>17.017263851816168</v>
      </c>
      <c r="J103" s="237">
        <v>25.01</v>
      </c>
      <c r="K103" s="232">
        <v>1.579</v>
      </c>
      <c r="L103" s="320">
        <f t="shared" si="19"/>
        <v>9.2788124680307007</v>
      </c>
      <c r="M103" s="342" t="s">
        <v>89</v>
      </c>
      <c r="N103" s="328"/>
    </row>
    <row r="104" spans="1:14" x14ac:dyDescent="0.3">
      <c r="A104" s="379">
        <v>102</v>
      </c>
      <c r="B104" s="372">
        <v>43299</v>
      </c>
      <c r="C104" s="380">
        <v>24476</v>
      </c>
      <c r="D104" s="380">
        <f t="shared" si="15"/>
        <v>24720.760000000002</v>
      </c>
      <c r="E104" s="329">
        <f t="shared" si="16"/>
        <v>340.37000000000262</v>
      </c>
      <c r="F104" s="374">
        <f t="shared" si="17"/>
        <v>17.238758708043065</v>
      </c>
      <c r="G104" s="330">
        <v>20</v>
      </c>
      <c r="H104" s="331">
        <f t="shared" si="18"/>
        <v>19.744461058045708</v>
      </c>
      <c r="I104" s="375">
        <f>+(D104-D$2)/SUM($F$3:F104)</f>
        <v>17.049700591481074</v>
      </c>
      <c r="J104" s="332">
        <v>27.22</v>
      </c>
      <c r="K104" s="339">
        <v>1.579</v>
      </c>
      <c r="L104" s="333">
        <f t="shared" si="19"/>
        <v>9.2611596991266314</v>
      </c>
      <c r="M104" s="345" t="s">
        <v>89</v>
      </c>
      <c r="N104" s="335" t="s">
        <v>189</v>
      </c>
    </row>
    <row r="105" spans="1:14" x14ac:dyDescent="0.3">
      <c r="A105" s="376">
        <v>103</v>
      </c>
      <c r="B105" s="367">
        <v>43365</v>
      </c>
      <c r="C105" s="377">
        <v>24651</v>
      </c>
      <c r="D105" s="377">
        <f t="shared" si="15"/>
        <v>24897.510000000002</v>
      </c>
      <c r="E105" s="231">
        <f t="shared" si="16"/>
        <v>176.75</v>
      </c>
      <c r="F105" s="344">
        <f t="shared" si="17"/>
        <v>9.9026606099935108</v>
      </c>
      <c r="G105" s="318">
        <v>18</v>
      </c>
      <c r="H105" s="240">
        <f t="shared" si="18"/>
        <v>17.84873853211009</v>
      </c>
      <c r="I105" s="370">
        <f>+(D105-D$2)/SUM($F$3:F105)</f>
        <v>17.055122807555918</v>
      </c>
      <c r="J105" s="237">
        <v>15.26</v>
      </c>
      <c r="K105" s="232">
        <v>1.5409999999999999</v>
      </c>
      <c r="L105" s="320">
        <f t="shared" si="19"/>
        <v>9.0354084071285126</v>
      </c>
      <c r="M105" s="342" t="s">
        <v>197</v>
      </c>
    </row>
    <row r="106" spans="1:14" x14ac:dyDescent="0.3">
      <c r="A106" s="366">
        <v>104</v>
      </c>
      <c r="B106" s="367">
        <v>43366</v>
      </c>
      <c r="C106" s="377">
        <v>24970</v>
      </c>
      <c r="D106" s="377">
        <f t="shared" si="15"/>
        <v>25219.7</v>
      </c>
      <c r="E106" s="231">
        <f t="shared" si="16"/>
        <v>322.18999999999869</v>
      </c>
      <c r="F106" s="344">
        <f t="shared" si="17"/>
        <v>19.570288520564763</v>
      </c>
      <c r="G106" s="318">
        <v>16.3</v>
      </c>
      <c r="H106" s="240">
        <f t="shared" si="18"/>
        <v>16.463221769134186</v>
      </c>
      <c r="I106" s="370">
        <f>+(D106-D$2)/SUM($F$3:F106)</f>
        <v>17.047289984334871</v>
      </c>
      <c r="J106" s="237">
        <v>31.88</v>
      </c>
      <c r="K106" s="232">
        <v>1.629</v>
      </c>
      <c r="L106" s="320">
        <f t="shared" si="19"/>
        <v>9.555771043356005</v>
      </c>
      <c r="M106" s="342" t="s">
        <v>190</v>
      </c>
      <c r="N106" s="324" t="s">
        <v>191</v>
      </c>
    </row>
    <row r="107" spans="1:14" x14ac:dyDescent="0.3">
      <c r="A107" s="366">
        <v>105</v>
      </c>
      <c r="B107" s="367">
        <v>43366</v>
      </c>
      <c r="C107" s="377">
        <v>25309</v>
      </c>
      <c r="D107" s="231">
        <f t="shared" si="15"/>
        <v>25562.09</v>
      </c>
      <c r="E107" s="231">
        <f t="shared" si="16"/>
        <v>342.38999999999942</v>
      </c>
      <c r="F107" s="344">
        <f t="shared" si="17"/>
        <v>18.987566607460035</v>
      </c>
      <c r="G107" s="318">
        <v>17.7</v>
      </c>
      <c r="H107" s="240">
        <f t="shared" si="18"/>
        <v>18.032326473339538</v>
      </c>
      <c r="I107" s="370">
        <f>+(D107-D$2)/SUM($F$3:F107)</f>
        <v>17.0597768396539</v>
      </c>
      <c r="J107" s="237">
        <v>32.07</v>
      </c>
      <c r="K107" s="232">
        <v>1.6890000000000001</v>
      </c>
      <c r="L107" s="320">
        <f t="shared" si="19"/>
        <v>9.9004812071988724</v>
      </c>
      <c r="M107" s="342" t="s">
        <v>193</v>
      </c>
      <c r="N107" s="324" t="s">
        <v>192</v>
      </c>
    </row>
    <row r="108" spans="1:14" x14ac:dyDescent="0.3">
      <c r="A108" s="366">
        <v>106</v>
      </c>
      <c r="B108" s="367">
        <v>43367</v>
      </c>
      <c r="C108" s="377">
        <v>25465</v>
      </c>
      <c r="D108" s="231">
        <f t="shared" si="15"/>
        <v>25719.65</v>
      </c>
      <c r="E108" s="231">
        <f t="shared" si="16"/>
        <v>157.56000000000131</v>
      </c>
      <c r="F108" s="344">
        <f t="shared" si="17"/>
        <v>7.6797998749218257</v>
      </c>
      <c r="G108" s="318">
        <v>20.3</v>
      </c>
      <c r="H108" s="240">
        <f t="shared" si="18"/>
        <v>20.516159609120692</v>
      </c>
      <c r="I108" s="370">
        <f>+(D108-D$2)/SUM($F$3:F108)</f>
        <v>17.077408051110446</v>
      </c>
      <c r="J108" s="237">
        <v>12.28</v>
      </c>
      <c r="K108" s="232">
        <v>1.599</v>
      </c>
      <c r="L108" s="320">
        <f t="shared" si="19"/>
        <v>9.3632476029992517</v>
      </c>
      <c r="M108" s="342" t="s">
        <v>89</v>
      </c>
      <c r="N108" s="324" t="s">
        <v>194</v>
      </c>
    </row>
    <row r="109" spans="1:14" x14ac:dyDescent="0.3">
      <c r="A109" s="366">
        <v>107</v>
      </c>
      <c r="B109" s="367">
        <v>43371</v>
      </c>
      <c r="C109" s="377">
        <v>25642</v>
      </c>
      <c r="D109" s="231">
        <f t="shared" si="15"/>
        <v>25898.420000000002</v>
      </c>
      <c r="E109" s="231">
        <f t="shared" si="16"/>
        <v>178.77000000000044</v>
      </c>
      <c r="F109" s="344">
        <f t="shared" ref="F109:F113" si="20">+J109/K109</f>
        <v>10.087554721701062</v>
      </c>
      <c r="G109" s="318">
        <v>17.899999999999999</v>
      </c>
      <c r="H109" s="240">
        <f t="shared" si="18"/>
        <v>17.721836949783057</v>
      </c>
      <c r="I109" s="370">
        <f>+(D109-D$2)/SUM($F$3:F109)</f>
        <v>17.081697199968431</v>
      </c>
      <c r="J109" s="237">
        <v>16.13</v>
      </c>
      <c r="K109" s="232">
        <v>1.599</v>
      </c>
      <c r="L109" s="320">
        <f t="shared" ref="L109:L113" si="21">+K109/I109*100</f>
        <v>9.3608965273249023</v>
      </c>
      <c r="M109" s="342" t="s">
        <v>89</v>
      </c>
      <c r="N109" s="324" t="s">
        <v>202</v>
      </c>
    </row>
    <row r="110" spans="1:14" x14ac:dyDescent="0.3">
      <c r="A110" s="366">
        <v>108</v>
      </c>
      <c r="B110" s="367">
        <v>43372</v>
      </c>
      <c r="C110" s="377">
        <v>25772</v>
      </c>
      <c r="D110" s="231">
        <f t="shared" si="15"/>
        <v>26029.72</v>
      </c>
      <c r="E110" s="231">
        <f t="shared" si="16"/>
        <v>131.29999999999927</v>
      </c>
      <c r="F110" s="344">
        <f t="shared" si="20"/>
        <v>7.2668810289389079</v>
      </c>
      <c r="G110" s="318">
        <v>18.100000000000001</v>
      </c>
      <c r="H110" s="240">
        <f t="shared" si="18"/>
        <v>18.068274336283082</v>
      </c>
      <c r="I110" s="370">
        <f>+(D110-D$2)/SUM($F$3:F110)</f>
        <v>17.086404934705179</v>
      </c>
      <c r="J110" s="237">
        <v>11.3</v>
      </c>
      <c r="K110" s="232">
        <v>1.5549999999999999</v>
      </c>
      <c r="L110" s="320">
        <f t="shared" si="21"/>
        <v>9.1008026904568435</v>
      </c>
      <c r="M110" s="342" t="s">
        <v>197</v>
      </c>
      <c r="N110" s="350"/>
    </row>
    <row r="111" spans="1:14" x14ac:dyDescent="0.3">
      <c r="A111" s="366">
        <v>109</v>
      </c>
      <c r="B111" s="367">
        <v>43373</v>
      </c>
      <c r="C111" s="377">
        <v>25964</v>
      </c>
      <c r="D111" s="231">
        <f t="shared" si="15"/>
        <v>26223.64</v>
      </c>
      <c r="E111" s="231">
        <f t="shared" si="16"/>
        <v>193.91999999999825</v>
      </c>
      <c r="F111" s="344">
        <f t="shared" si="20"/>
        <v>10</v>
      </c>
      <c r="G111" s="318">
        <v>18.899999999999999</v>
      </c>
      <c r="H111" s="240">
        <f t="shared" si="18"/>
        <v>19.391999999999825</v>
      </c>
      <c r="I111" s="370">
        <f>+(D111-D$2)/SUM($F$3:F111)</f>
        <v>17.10144582195921</v>
      </c>
      <c r="J111" s="237">
        <v>16.190000000000001</v>
      </c>
      <c r="K111" s="232">
        <v>1.619</v>
      </c>
      <c r="L111" s="320">
        <f t="shared" si="21"/>
        <v>9.4670358100431109</v>
      </c>
      <c r="M111" s="342" t="s">
        <v>198</v>
      </c>
      <c r="N111" s="324" t="s">
        <v>200</v>
      </c>
    </row>
    <row r="112" spans="1:14" x14ac:dyDescent="0.3">
      <c r="A112" s="366">
        <v>110</v>
      </c>
      <c r="B112" s="367">
        <v>43373</v>
      </c>
      <c r="C112" s="377">
        <v>26088</v>
      </c>
      <c r="D112" s="231">
        <f t="shared" si="15"/>
        <v>26348.880000000001</v>
      </c>
      <c r="E112" s="231">
        <f t="shared" si="16"/>
        <v>125.2400000000016</v>
      </c>
      <c r="F112" s="344">
        <f t="shared" si="20"/>
        <v>5.9099437148217628</v>
      </c>
      <c r="G112" s="318">
        <v>22.7</v>
      </c>
      <c r="H112" s="240">
        <f t="shared" si="18"/>
        <v>21.191403174603447</v>
      </c>
      <c r="I112" s="370">
        <f>+(D112-D$2)/SUM($F$3:F112)</f>
        <v>17.117153839226678</v>
      </c>
      <c r="J112" s="237">
        <v>9.4499999999999993</v>
      </c>
      <c r="K112" s="232">
        <v>1.599</v>
      </c>
      <c r="L112" s="320">
        <f t="shared" si="21"/>
        <v>9.3415062750422759</v>
      </c>
      <c r="M112" s="342" t="s">
        <v>199</v>
      </c>
      <c r="N112" s="324" t="s">
        <v>201</v>
      </c>
    </row>
    <row r="113" spans="1:15" x14ac:dyDescent="0.3">
      <c r="A113" s="371">
        <v>111</v>
      </c>
      <c r="B113" s="372">
        <v>43373</v>
      </c>
      <c r="C113" s="380">
        <v>26485</v>
      </c>
      <c r="D113" s="329">
        <f t="shared" si="15"/>
        <v>26749.85</v>
      </c>
      <c r="E113" s="329">
        <f t="shared" si="16"/>
        <v>400.96999999999753</v>
      </c>
      <c r="F113" s="374">
        <f t="shared" si="20"/>
        <v>18.861736334405144</v>
      </c>
      <c r="G113" s="330">
        <v>21.2</v>
      </c>
      <c r="H113" s="331">
        <f t="shared" si="18"/>
        <v>21.258382202522885</v>
      </c>
      <c r="I113" s="375">
        <f>+(D113-D$2)/SUM($F$3:F113)</f>
        <v>17.167300163407656</v>
      </c>
      <c r="J113" s="332">
        <v>29.33</v>
      </c>
      <c r="K113" s="339">
        <v>1.5549999999999999</v>
      </c>
      <c r="L113" s="333">
        <f t="shared" si="21"/>
        <v>9.0579181653414818</v>
      </c>
      <c r="M113" s="345" t="s">
        <v>197</v>
      </c>
      <c r="N113" s="349" t="s">
        <v>192</v>
      </c>
    </row>
    <row r="114" spans="1:15" x14ac:dyDescent="0.3">
      <c r="A114" s="366">
        <v>112</v>
      </c>
      <c r="B114" s="367">
        <v>43379</v>
      </c>
      <c r="C114" s="377">
        <v>26806</v>
      </c>
      <c r="D114" s="231">
        <f t="shared" si="15"/>
        <v>27074.06</v>
      </c>
      <c r="E114" s="231">
        <f t="shared" si="16"/>
        <v>324.21000000000276</v>
      </c>
      <c r="F114" s="344">
        <f t="shared" ref="F114:F116" si="22">+J114/K114</f>
        <v>16.942514213518635</v>
      </c>
      <c r="G114" s="318">
        <v>19.3</v>
      </c>
      <c r="H114" s="240">
        <f t="shared" si="18"/>
        <v>19.1358847874722</v>
      </c>
      <c r="I114" s="370">
        <f>+(D114-D$2)/SUM($F$3:F114)</f>
        <v>17.188481917355752</v>
      </c>
      <c r="J114" s="237">
        <v>26.82</v>
      </c>
      <c r="K114" s="232">
        <v>1.583</v>
      </c>
      <c r="L114" s="320">
        <f t="shared" ref="L114:L116" si="23">+K114/I114*100</f>
        <v>9.2096556729747903</v>
      </c>
      <c r="M114" s="342" t="s">
        <v>154</v>
      </c>
    </row>
    <row r="115" spans="1:15" x14ac:dyDescent="0.3">
      <c r="A115" s="366">
        <v>113</v>
      </c>
      <c r="B115" s="367">
        <v>43382</v>
      </c>
      <c r="C115" s="377">
        <v>26867</v>
      </c>
      <c r="D115" s="231">
        <f t="shared" si="15"/>
        <v>27135.670000000002</v>
      </c>
      <c r="E115" s="231">
        <f t="shared" si="16"/>
        <v>61.610000000000582</v>
      </c>
      <c r="F115" s="344">
        <f t="shared" si="22"/>
        <v>3.5814521049420378</v>
      </c>
      <c r="G115" s="318">
        <v>17.600000000000001</v>
      </c>
      <c r="H115" s="240">
        <f t="shared" si="18"/>
        <v>17.202519591141559</v>
      </c>
      <c r="I115" s="370">
        <f>+(D115-D$2)/SUM($F$3:F115)</f>
        <v>17.188513773820368</v>
      </c>
      <c r="J115" s="237">
        <v>5.87</v>
      </c>
      <c r="K115" s="232">
        <v>1.639</v>
      </c>
      <c r="L115" s="320">
        <f t="shared" si="23"/>
        <v>9.5354375693397202</v>
      </c>
      <c r="M115" s="342" t="s">
        <v>157</v>
      </c>
      <c r="N115" s="348"/>
      <c r="O115" s="236"/>
    </row>
    <row r="116" spans="1:15" x14ac:dyDescent="0.3">
      <c r="A116" s="366">
        <v>114</v>
      </c>
      <c r="B116" s="367">
        <v>43384</v>
      </c>
      <c r="C116" s="377">
        <v>27277</v>
      </c>
      <c r="D116" s="231">
        <f t="shared" si="15"/>
        <v>27549.77</v>
      </c>
      <c r="E116" s="231">
        <f t="shared" si="16"/>
        <v>414.09999999999854</v>
      </c>
      <c r="F116" s="344">
        <f t="shared" si="22"/>
        <v>19.908480780964005</v>
      </c>
      <c r="G116" s="318">
        <v>20.9</v>
      </c>
      <c r="H116" s="240">
        <f t="shared" si="18"/>
        <v>20.800180815200658</v>
      </c>
      <c r="I116" s="370">
        <f>+(D116-D$2)/SUM($F$3:F116)</f>
        <v>17.233506760805309</v>
      </c>
      <c r="J116" s="237">
        <v>32.630000000000003</v>
      </c>
      <c r="K116" s="232">
        <v>1.639</v>
      </c>
      <c r="L116" s="320">
        <f t="shared" si="23"/>
        <v>9.5105425886252473</v>
      </c>
      <c r="M116" s="342" t="s">
        <v>89</v>
      </c>
      <c r="N116" s="350" t="s">
        <v>203</v>
      </c>
      <c r="O116" s="381"/>
    </row>
    <row r="117" spans="1:15" x14ac:dyDescent="0.3">
      <c r="A117" s="366">
        <v>115</v>
      </c>
      <c r="B117" s="376"/>
      <c r="C117" s="377"/>
      <c r="D117" s="382"/>
      <c r="E117" s="382"/>
      <c r="F117" s="376"/>
      <c r="G117" s="376"/>
      <c r="H117" s="383"/>
      <c r="I117" s="383"/>
      <c r="J117" s="384"/>
      <c r="K117" s="385"/>
      <c r="L117" s="383"/>
      <c r="M117" s="342"/>
    </row>
    <row r="118" spans="1:15" x14ac:dyDescent="0.3">
      <c r="A118" s="366">
        <v>116</v>
      </c>
      <c r="B118" s="376"/>
      <c r="C118" s="377"/>
      <c r="D118" s="382"/>
      <c r="E118" s="382"/>
      <c r="F118" s="376"/>
      <c r="G118" s="376"/>
      <c r="H118" s="383"/>
      <c r="I118" s="383"/>
      <c r="J118" s="384"/>
      <c r="K118" s="385"/>
      <c r="L118" s="383"/>
      <c r="M118" s="342"/>
    </row>
    <row r="119" spans="1:15" x14ac:dyDescent="0.3">
      <c r="A119" s="366">
        <v>117</v>
      </c>
      <c r="B119" s="376"/>
      <c r="C119" s="377"/>
      <c r="D119" s="382"/>
      <c r="E119" s="382"/>
      <c r="F119" s="376"/>
      <c r="G119" s="376"/>
      <c r="H119" s="383"/>
      <c r="I119" s="383"/>
      <c r="J119" s="384"/>
      <c r="K119" s="385"/>
      <c r="L119" s="383"/>
      <c r="M119" s="342"/>
    </row>
    <row r="120" spans="1:15" x14ac:dyDescent="0.3">
      <c r="A120" s="366">
        <v>118</v>
      </c>
      <c r="B120" s="376"/>
      <c r="C120" s="377"/>
      <c r="D120" s="382"/>
      <c r="E120" s="382"/>
      <c r="F120" s="376"/>
      <c r="G120" s="376"/>
      <c r="H120" s="383"/>
      <c r="I120" s="383"/>
      <c r="J120" s="384"/>
      <c r="K120" s="385"/>
      <c r="L120" s="383"/>
      <c r="M120" s="342"/>
    </row>
    <row r="121" spans="1:15" s="397" customFormat="1" x14ac:dyDescent="0.3">
      <c r="A121" s="398"/>
      <c r="B121" s="390" t="s">
        <v>9</v>
      </c>
      <c r="C121" s="391" t="s">
        <v>10</v>
      </c>
      <c r="D121" s="401" t="s">
        <v>103</v>
      </c>
      <c r="E121" s="403" t="s">
        <v>11</v>
      </c>
      <c r="F121" s="392" t="s">
        <v>12</v>
      </c>
      <c r="G121" s="402" t="s">
        <v>95</v>
      </c>
      <c r="H121" s="404" t="s">
        <v>8</v>
      </c>
      <c r="I121" s="402" t="s">
        <v>13</v>
      </c>
      <c r="J121" s="393" t="s">
        <v>51</v>
      </c>
      <c r="K121" s="394" t="s">
        <v>52</v>
      </c>
      <c r="L121" s="405" t="s">
        <v>92</v>
      </c>
      <c r="M121" s="395" t="s">
        <v>14</v>
      </c>
      <c r="N121" s="396" t="s">
        <v>104</v>
      </c>
    </row>
    <row r="122" spans="1:15" x14ac:dyDescent="0.3">
      <c r="A122" s="389"/>
      <c r="E122" s="231">
        <f>MAX(E3:E81,E83:E121)</f>
        <v>414.09999999999854</v>
      </c>
      <c r="F122" s="399">
        <f>MAX(F3:F81,F83:F121)</f>
        <v>20.697954271961493</v>
      </c>
      <c r="H122" s="370">
        <f>MAX(H3:H121)</f>
        <v>21.384554347825866</v>
      </c>
      <c r="J122" s="399">
        <f>MIN(J3:J121)</f>
        <v>1.63</v>
      </c>
      <c r="K122" s="406">
        <f>MIN(K3:K121)</f>
        <v>1.2669999999999999</v>
      </c>
    </row>
    <row r="123" spans="1:15" x14ac:dyDescent="0.3">
      <c r="E123" s="231">
        <f>MIN(E3:E81,E83:E121)</f>
        <v>15.149999999999977</v>
      </c>
      <c r="F123" s="399">
        <f>MIN(F3:F81,F83:F121)</f>
        <v>1.0388782664117271</v>
      </c>
      <c r="G123" s="400"/>
      <c r="H123" s="370">
        <f>MIN(H3:H121)</f>
        <v>11.529080550098231</v>
      </c>
      <c r="J123" s="399">
        <f>MAX(J3:J121)</f>
        <v>37.21</v>
      </c>
      <c r="K123" s="406">
        <f>MAX(K3:K121)</f>
        <v>1.8009999999999999</v>
      </c>
    </row>
  </sheetData>
  <phoneticPr fontId="2" type="noConversion"/>
  <conditionalFormatting sqref="H122:H1048576 H1:H120">
    <cfRule type="top10" dxfId="74" priority="61" percent="1" rank="10"/>
    <cfRule type="top10" dxfId="73" priority="62" rank="1"/>
    <cfRule type="top10" dxfId="72" priority="63" percent="1" bottom="1" rank="10"/>
    <cfRule type="top10" dxfId="71" priority="64" bottom="1" rank="1"/>
  </conditionalFormatting>
  <conditionalFormatting sqref="E122:E1048576 E1:E120">
    <cfRule type="top10" dxfId="70" priority="57" rank="1"/>
    <cfRule type="top10" dxfId="69" priority="58" bottom="1" rank="1"/>
    <cfRule type="top10" dxfId="68" priority="59" percent="1" bottom="1" rank="10"/>
  </conditionalFormatting>
  <conditionalFormatting sqref="I122:I1048576 I1:I120">
    <cfRule type="top10" dxfId="67" priority="49" rank="1"/>
    <cfRule type="top10" dxfId="66" priority="50" percent="1" bottom="1" rank="1"/>
  </conditionalFormatting>
  <conditionalFormatting sqref="F123:F1048576 F1:F120">
    <cfRule type="top10" dxfId="65" priority="45" bottom="1" rank="1"/>
    <cfRule type="top10" dxfId="64" priority="48" percent="1" bottom="1" rank="10"/>
  </conditionalFormatting>
  <conditionalFormatting sqref="F3:F81 F83:F117">
    <cfRule type="top10" dxfId="63" priority="46" rank="1"/>
    <cfRule type="top10" dxfId="62" priority="47" percent="1" rank="10"/>
  </conditionalFormatting>
  <conditionalFormatting sqref="L122:L1048576 L1:L120">
    <cfRule type="top10" dxfId="61" priority="38" bottom="1" rank="1"/>
    <cfRule type="top10" dxfId="60" priority="40" rank="1"/>
  </conditionalFormatting>
  <conditionalFormatting sqref="H121">
    <cfRule type="top10" dxfId="59" priority="34" percent="1" rank="10"/>
    <cfRule type="top10" dxfId="58" priority="35" rank="1"/>
    <cfRule type="top10" dxfId="57" priority="36" percent="1" bottom="1" rank="10"/>
    <cfRule type="top10" dxfId="56" priority="37" bottom="1" rank="1"/>
  </conditionalFormatting>
  <conditionalFormatting sqref="E121">
    <cfRule type="top10" dxfId="55" priority="31" rank="1"/>
    <cfRule type="top10" dxfId="54" priority="32" bottom="1" rank="1"/>
    <cfRule type="top10" dxfId="53" priority="33" percent="1" bottom="1" rank="10"/>
  </conditionalFormatting>
  <conditionalFormatting sqref="I121">
    <cfRule type="top10" dxfId="52" priority="25" rank="1"/>
    <cfRule type="top10" dxfId="51" priority="26" percent="1" bottom="1" rank="1"/>
  </conditionalFormatting>
  <conditionalFormatting sqref="F121">
    <cfRule type="top10" dxfId="50" priority="23" bottom="1" rank="1"/>
    <cfRule type="top10" dxfId="49" priority="24" percent="1" bottom="1" rank="10"/>
  </conditionalFormatting>
  <conditionalFormatting sqref="J121">
    <cfRule type="top10" dxfId="48" priority="19" bottom="1" rank="1"/>
    <cfRule type="top10" dxfId="47" priority="20" rank="1"/>
    <cfRule type="top10" dxfId="46" priority="21" percent="1" bottom="1" rank="10"/>
    <cfRule type="top10" dxfId="45" priority="22" percent="1" rank="10"/>
  </conditionalFormatting>
  <conditionalFormatting sqref="L121">
    <cfRule type="top10" dxfId="44" priority="17" bottom="1" rank="1"/>
    <cfRule type="top10" dxfId="43" priority="18" rank="1"/>
  </conditionalFormatting>
  <conditionalFormatting sqref="F122">
    <cfRule type="top10" dxfId="42" priority="14" rank="1"/>
    <cfRule type="top10" dxfId="41" priority="15" bottom="1" rank="1"/>
    <cfRule type="top10" dxfId="40" priority="16" percent="1" bottom="1" rank="10"/>
  </conditionalFormatting>
  <conditionalFormatting sqref="K1:K1048576">
    <cfRule type="top10" dxfId="39" priority="1" bottom="1" rank="1"/>
    <cfRule type="top10" dxfId="38" priority="2" rank="1"/>
    <cfRule type="top10" dxfId="37" priority="3" percent="1" bottom="1" rank="10"/>
    <cfRule type="top10" dxfId="36" priority="4" percent="1" rank="10"/>
  </conditionalFormatting>
  <conditionalFormatting sqref="E3:E81 E83:E120">
    <cfRule type="top10" dxfId="35" priority="147" percent="1" rank="10"/>
  </conditionalFormatting>
  <conditionalFormatting sqref="J124:J1048576 J1:J120">
    <cfRule type="top10" dxfId="34" priority="192" bottom="1" rank="1"/>
    <cfRule type="top10" dxfId="33" priority="193" rank="1"/>
    <cfRule type="top10" dxfId="32" priority="194" percent="1" bottom="1" rank="10"/>
    <cfRule type="top10" dxfId="31" priority="195" percent="1" rank="10"/>
  </conditionalFormatting>
  <conditionalFormatting sqref="J122:J123">
    <cfRule type="top10" dxfId="30" priority="212" bottom="1" rank="1"/>
    <cfRule type="top10" dxfId="29" priority="213" rank="1"/>
    <cfRule type="top10" dxfId="28" priority="214" percent="1" bottom="1" rank="10"/>
  </conditionalFormatting>
  <pageMargins left="0.35433070866141736" right="0" top="0.47244094488188981" bottom="0.51181102362204722" header="0.19685039370078741" footer="0.39370078740157483"/>
  <pageSetup paperSize="9" orientation="portrait" horizontalDpi="4294967295" verticalDpi="4294967295" r:id="rId1"/>
  <headerFooter alignWithMargins="0">
    <oddHeader>&amp;L        &amp;D&amp;C&amp;F&amp;R&amp;T</oddHeader>
    <oddFooter>&amp;C&amp;P</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T88"/>
  <sheetViews>
    <sheetView zoomScale="130" zoomScaleNormal="130" workbookViewId="0">
      <selection activeCell="S36" sqref="S36"/>
    </sheetView>
  </sheetViews>
  <sheetFormatPr defaultRowHeight="12.45" x14ac:dyDescent="0.3"/>
  <cols>
    <col min="1" max="1" width="5.53515625" style="20" customWidth="1"/>
    <col min="2" max="3" width="7.53515625" style="9" customWidth="1"/>
    <col min="4" max="4" width="5.53515625" style="1" customWidth="1"/>
    <col min="5" max="5" width="5.69140625" style="2" customWidth="1"/>
    <col min="6" max="6" width="6.53515625" style="2" customWidth="1"/>
    <col min="7" max="7" width="5.53515625" style="15" customWidth="1"/>
    <col min="8" max="8" width="5.53515625" style="1" customWidth="1"/>
    <col min="9" max="9" width="6.3828125" style="1" customWidth="1"/>
    <col min="10" max="10" width="7.53515625" style="201" customWidth="1"/>
    <col min="11" max="11" width="7.84375" style="203" customWidth="1"/>
    <col min="12" max="12" width="7.84375" style="32" customWidth="1"/>
    <col min="13" max="13" width="6.15234375" style="32" customWidth="1"/>
    <col min="14" max="14" width="3.69140625" style="191" customWidth="1"/>
    <col min="15" max="15" width="5.53515625" style="2" customWidth="1"/>
    <col min="16" max="16" width="6.3046875" style="10" customWidth="1"/>
    <col min="17" max="17" width="2.69140625" style="1" customWidth="1"/>
    <col min="18" max="18" width="3" style="1" customWidth="1"/>
    <col min="19" max="19" width="8.3828125" style="1" customWidth="1"/>
    <col min="20" max="21" width="7.69140625" customWidth="1"/>
  </cols>
  <sheetData>
    <row r="6" spans="1:19" x14ac:dyDescent="0.3">
      <c r="A6" s="21"/>
      <c r="H6" s="3"/>
      <c r="I6" s="3"/>
      <c r="J6" s="199"/>
      <c r="R6" s="4"/>
      <c r="S6" s="4"/>
    </row>
    <row r="7" spans="1:19" x14ac:dyDescent="0.3">
      <c r="A7" s="21"/>
      <c r="H7" s="3"/>
      <c r="I7" s="3"/>
      <c r="J7" s="199"/>
      <c r="R7" s="4"/>
      <c r="S7" s="4"/>
    </row>
    <row r="8" spans="1:19" x14ac:dyDescent="0.3">
      <c r="A8" s="21"/>
      <c r="H8" s="3"/>
      <c r="I8" s="3"/>
      <c r="J8" s="199"/>
      <c r="R8" s="4"/>
      <c r="S8" s="4"/>
    </row>
    <row r="9" spans="1:19" x14ac:dyDescent="0.3">
      <c r="A9" s="21"/>
      <c r="H9" s="3"/>
      <c r="I9" s="3"/>
      <c r="J9" s="199"/>
      <c r="R9" s="4"/>
      <c r="S9" s="4"/>
    </row>
    <row r="10" spans="1:19" x14ac:dyDescent="0.3">
      <c r="A10" s="21"/>
      <c r="H10" s="3"/>
      <c r="I10" s="3"/>
      <c r="J10" s="199"/>
      <c r="R10" s="4"/>
      <c r="S10" s="4"/>
    </row>
    <row r="11" spans="1:19" x14ac:dyDescent="0.3">
      <c r="A11" s="21"/>
      <c r="H11" s="3"/>
      <c r="I11" s="3"/>
      <c r="J11" s="199"/>
      <c r="R11" s="4"/>
      <c r="S11" s="4"/>
    </row>
    <row r="12" spans="1:19" x14ac:dyDescent="0.3">
      <c r="A12" s="21"/>
      <c r="H12" s="3"/>
      <c r="I12" s="3"/>
      <c r="J12" s="199"/>
      <c r="R12" s="4"/>
      <c r="S12" s="4"/>
    </row>
    <row r="13" spans="1:19" x14ac:dyDescent="0.3">
      <c r="A13" s="21"/>
      <c r="H13" s="3"/>
      <c r="I13" s="3"/>
      <c r="J13" s="199"/>
      <c r="R13" s="4"/>
      <c r="S13" s="4"/>
    </row>
    <row r="14" spans="1:19" x14ac:dyDescent="0.3">
      <c r="A14" s="21"/>
      <c r="H14" s="3"/>
      <c r="I14" s="3"/>
      <c r="J14" s="199"/>
      <c r="R14" s="4"/>
      <c r="S14" s="4"/>
    </row>
    <row r="15" spans="1:19" x14ac:dyDescent="0.3">
      <c r="A15" s="57"/>
      <c r="H15" s="3"/>
      <c r="I15" s="3"/>
      <c r="J15" s="199"/>
      <c r="R15" s="4"/>
      <c r="S15" s="4"/>
    </row>
    <row r="16" spans="1:19" x14ac:dyDescent="0.3">
      <c r="A16" s="64">
        <f>+(19.67+19.62+19.57+19.91+19.91+19.32+19.28+19.62)/8</f>
        <v>19.612500000000001</v>
      </c>
      <c r="H16" s="3"/>
      <c r="I16" s="3"/>
      <c r="J16" s="199"/>
      <c r="R16" s="4"/>
      <c r="S16" s="4"/>
    </row>
    <row r="17" spans="1:19" x14ac:dyDescent="0.3">
      <c r="A17" s="64">
        <f>+(3.33+3.38+3.43+3.09+3.09+3.68+3.72+3.38)/8</f>
        <v>3.3874999999999997</v>
      </c>
      <c r="H17" s="3"/>
      <c r="I17" s="3"/>
      <c r="J17" s="199"/>
      <c r="R17" s="4"/>
      <c r="S17" s="4"/>
    </row>
    <row r="18" spans="1:19" x14ac:dyDescent="0.3">
      <c r="A18" s="64">
        <f>+(23.47+23.42+23.37+23.71+23.71+23.12+23.08+23.42)/8</f>
        <v>23.412500000000001</v>
      </c>
      <c r="H18" s="3"/>
      <c r="I18" s="3"/>
      <c r="J18" s="199"/>
      <c r="R18" s="4"/>
      <c r="S18" s="4"/>
    </row>
    <row r="19" spans="1:19" x14ac:dyDescent="0.3">
      <c r="A19" s="22"/>
      <c r="H19" s="3"/>
      <c r="I19" s="3"/>
      <c r="J19" s="199"/>
      <c r="R19" s="4"/>
      <c r="S19" s="4"/>
    </row>
    <row r="20" spans="1:19" x14ac:dyDescent="0.3">
      <c r="A20" s="22"/>
      <c r="H20" s="3"/>
      <c r="I20" s="3"/>
      <c r="J20" s="199"/>
      <c r="R20" s="4"/>
      <c r="S20" s="4"/>
    </row>
    <row r="21" spans="1:19" x14ac:dyDescent="0.3">
      <c r="A21" s="22"/>
      <c r="H21" s="3"/>
      <c r="I21" s="3"/>
      <c r="J21" s="199"/>
      <c r="R21" s="4"/>
      <c r="S21" s="4"/>
    </row>
    <row r="22" spans="1:19" x14ac:dyDescent="0.3">
      <c r="A22" s="21"/>
      <c r="H22" s="3"/>
      <c r="I22" s="3"/>
      <c r="J22" s="199"/>
      <c r="R22" s="4"/>
      <c r="S22" s="4"/>
    </row>
    <row r="23" spans="1:19" x14ac:dyDescent="0.3">
      <c r="A23" s="21"/>
      <c r="H23" s="3"/>
      <c r="I23" s="3"/>
      <c r="J23" s="199"/>
      <c r="R23" s="4"/>
      <c r="S23" s="4"/>
    </row>
    <row r="24" spans="1:19" x14ac:dyDescent="0.3">
      <c r="A24" s="21"/>
      <c r="H24" s="3"/>
      <c r="I24" s="3"/>
      <c r="J24" s="199"/>
      <c r="R24" s="4"/>
      <c r="S24" s="4"/>
    </row>
    <row r="25" spans="1:19" x14ac:dyDescent="0.3">
      <c r="A25" s="21"/>
      <c r="H25" s="3"/>
      <c r="I25" s="3"/>
      <c r="J25" s="199"/>
      <c r="R25" s="4"/>
      <c r="S25" s="4"/>
    </row>
    <row r="26" spans="1:19" x14ac:dyDescent="0.3">
      <c r="A26" s="21"/>
      <c r="H26" s="3"/>
      <c r="I26" s="3"/>
      <c r="J26" s="199"/>
      <c r="R26" s="4"/>
      <c r="S26" s="4"/>
    </row>
    <row r="27" spans="1:19" x14ac:dyDescent="0.3">
      <c r="A27" s="21"/>
      <c r="H27" s="3"/>
      <c r="I27" s="3"/>
      <c r="J27" s="199"/>
      <c r="R27" s="4"/>
      <c r="S27" s="4"/>
    </row>
    <row r="28" spans="1:19" x14ac:dyDescent="0.3">
      <c r="A28" s="21"/>
      <c r="H28" s="3"/>
      <c r="I28" s="3"/>
      <c r="J28" s="199"/>
      <c r="R28" s="4"/>
      <c r="S28" s="4"/>
    </row>
    <row r="29" spans="1:19" x14ac:dyDescent="0.3">
      <c r="A29" s="21"/>
      <c r="H29" s="3"/>
      <c r="I29" s="3"/>
      <c r="J29" s="199"/>
      <c r="R29" s="4"/>
      <c r="S29" s="4"/>
    </row>
    <row r="30" spans="1:19" x14ac:dyDescent="0.3">
      <c r="A30" s="21"/>
      <c r="H30" s="3"/>
      <c r="I30" s="3"/>
      <c r="J30" s="199"/>
      <c r="R30" s="4"/>
      <c r="S30" s="4"/>
    </row>
    <row r="31" spans="1:19" x14ac:dyDescent="0.3">
      <c r="A31" s="21"/>
      <c r="H31" s="3"/>
      <c r="I31" s="3"/>
      <c r="J31" s="199"/>
      <c r="R31" s="4"/>
      <c r="S31" s="4"/>
    </row>
    <row r="32" spans="1:19" x14ac:dyDescent="0.3">
      <c r="A32" s="21"/>
      <c r="H32" s="3"/>
      <c r="I32" s="3"/>
      <c r="J32" s="199"/>
      <c r="R32" s="4"/>
      <c r="S32" s="4"/>
    </row>
    <row r="33" spans="1:19" x14ac:dyDescent="0.3">
      <c r="A33" s="21"/>
      <c r="H33" s="3"/>
      <c r="I33" s="3"/>
      <c r="J33" s="199"/>
      <c r="R33" s="4"/>
      <c r="S33" s="4"/>
    </row>
    <row r="34" spans="1:19" x14ac:dyDescent="0.3">
      <c r="A34" s="21"/>
      <c r="H34" s="3"/>
      <c r="I34" s="3"/>
      <c r="J34" s="199"/>
      <c r="R34" s="4"/>
      <c r="S34" s="4"/>
    </row>
    <row r="35" spans="1:19" x14ac:dyDescent="0.3">
      <c r="A35" s="21"/>
      <c r="H35" s="3"/>
      <c r="I35" s="3"/>
      <c r="J35" s="199"/>
      <c r="R35" s="4"/>
      <c r="S35" s="4"/>
    </row>
    <row r="36" spans="1:19" x14ac:dyDescent="0.3">
      <c r="A36" s="21"/>
      <c r="H36" s="3"/>
      <c r="I36" s="3"/>
      <c r="J36" s="199"/>
      <c r="R36" s="4"/>
      <c r="S36" s="4"/>
    </row>
    <row r="37" spans="1:19" x14ac:dyDescent="0.3">
      <c r="A37" s="21"/>
      <c r="H37" s="3"/>
      <c r="I37" s="3"/>
      <c r="J37" s="199"/>
      <c r="R37" s="4"/>
      <c r="S37" s="4"/>
    </row>
    <row r="38" spans="1:19" x14ac:dyDescent="0.3">
      <c r="H38" s="3"/>
      <c r="I38" s="3"/>
      <c r="J38" s="199"/>
    </row>
    <row r="39" spans="1:19" x14ac:dyDescent="0.3">
      <c r="H39" s="3" t="s">
        <v>24</v>
      </c>
      <c r="I39" s="3"/>
      <c r="J39" s="199"/>
    </row>
    <row r="40" spans="1:19" x14ac:dyDescent="0.3">
      <c r="H40" s="3"/>
      <c r="I40" s="3"/>
      <c r="J40" s="199"/>
    </row>
    <row r="41" spans="1:19" x14ac:dyDescent="0.3">
      <c r="H41" s="3"/>
      <c r="I41" s="3"/>
      <c r="J41" s="199"/>
    </row>
    <row r="42" spans="1:19" x14ac:dyDescent="0.3">
      <c r="H42" s="3"/>
      <c r="I42" s="3"/>
      <c r="J42" s="199"/>
    </row>
    <row r="43" spans="1:19" x14ac:dyDescent="0.3">
      <c r="H43" s="3"/>
      <c r="I43" s="3"/>
      <c r="J43" s="199"/>
    </row>
    <row r="44" spans="1:19" x14ac:dyDescent="0.3">
      <c r="H44" s="3"/>
      <c r="I44" s="3"/>
      <c r="J44" s="199"/>
    </row>
    <row r="45" spans="1:19" x14ac:dyDescent="0.3">
      <c r="H45" s="3"/>
      <c r="I45" s="3"/>
      <c r="J45" s="199"/>
    </row>
    <row r="46" spans="1:19" x14ac:dyDescent="0.3">
      <c r="A46" s="47"/>
      <c r="B46" s="48"/>
      <c r="C46" s="48"/>
      <c r="D46" s="49"/>
      <c r="E46" s="50"/>
      <c r="F46" s="50"/>
      <c r="G46" s="51"/>
      <c r="H46" s="52"/>
      <c r="I46" s="52"/>
      <c r="J46" s="199"/>
    </row>
    <row r="47" spans="1:19" x14ac:dyDescent="0.3">
      <c r="A47" s="47"/>
      <c r="B47" s="48"/>
      <c r="C47" s="48"/>
      <c r="D47" s="49"/>
      <c r="E47" s="50"/>
      <c r="F47" s="50"/>
      <c r="G47" s="51"/>
      <c r="H47" s="52"/>
      <c r="I47" s="52"/>
      <c r="J47" s="199"/>
    </row>
    <row r="48" spans="1:19" x14ac:dyDescent="0.3">
      <c r="A48" s="53"/>
      <c r="B48" s="54" t="s">
        <v>9</v>
      </c>
      <c r="C48" s="54"/>
      <c r="D48" s="49"/>
      <c r="E48" s="50"/>
      <c r="F48" s="50"/>
      <c r="G48" s="55" t="s">
        <v>10</v>
      </c>
      <c r="H48" s="56"/>
      <c r="I48" s="56"/>
      <c r="J48" s="200"/>
      <c r="K48" s="204"/>
      <c r="L48" s="29"/>
      <c r="M48" s="29"/>
      <c r="N48" s="192"/>
      <c r="O48" s="30"/>
      <c r="P48" s="11"/>
      <c r="Q48" s="6"/>
      <c r="R48" s="5"/>
    </row>
    <row r="49" spans="1:19" x14ac:dyDescent="0.3">
      <c r="B49" s="58"/>
      <c r="C49" s="58"/>
      <c r="D49" s="59"/>
      <c r="E49" s="49"/>
      <c r="F49" s="60" t="s">
        <v>10</v>
      </c>
      <c r="G49" s="55"/>
      <c r="H49" s="61" t="s">
        <v>16</v>
      </c>
      <c r="I49" s="56"/>
      <c r="J49" s="200"/>
      <c r="K49" s="204"/>
      <c r="L49" s="29"/>
      <c r="M49" s="29"/>
      <c r="N49" s="192"/>
      <c r="O49" s="30"/>
      <c r="P49" s="11"/>
      <c r="Q49" s="6"/>
      <c r="R49" s="5"/>
    </row>
    <row r="50" spans="1:19" x14ac:dyDescent="0.3">
      <c r="A50" s="47"/>
      <c r="B50" s="48"/>
      <c r="C50" s="48"/>
      <c r="D50" s="49"/>
      <c r="E50" s="49"/>
      <c r="F50" s="49"/>
      <c r="G50" s="49"/>
      <c r="H50" s="49"/>
      <c r="I50" s="49"/>
      <c r="L50" s="33"/>
      <c r="M50" s="33"/>
      <c r="O50" s="13"/>
      <c r="P50"/>
      <c r="Q50"/>
      <c r="R50"/>
    </row>
    <row r="51" spans="1:19" x14ac:dyDescent="0.3">
      <c r="A51" s="47"/>
      <c r="B51" s="48"/>
      <c r="C51" s="48"/>
      <c r="D51" s="49"/>
      <c r="E51" s="49"/>
      <c r="F51" s="49"/>
      <c r="G51" s="49"/>
      <c r="H51" s="49"/>
      <c r="I51" s="49"/>
      <c r="L51" s="33"/>
      <c r="M51" s="33"/>
      <c r="O51" s="13"/>
      <c r="P51"/>
      <c r="Q51"/>
      <c r="R51"/>
      <c r="S51" s="1" t="s">
        <v>25</v>
      </c>
    </row>
    <row r="52" spans="1:19" x14ac:dyDescent="0.3">
      <c r="A52" s="47"/>
      <c r="B52" s="48"/>
      <c r="C52" s="48"/>
      <c r="D52" s="49"/>
      <c r="E52" s="49"/>
      <c r="F52" s="49"/>
      <c r="G52" s="49"/>
      <c r="H52" s="49"/>
      <c r="I52" s="49"/>
      <c r="L52" s="33"/>
      <c r="M52" s="33"/>
      <c r="O52" s="13"/>
      <c r="P52"/>
      <c r="Q52"/>
      <c r="R52"/>
    </row>
    <row r="53" spans="1:19" x14ac:dyDescent="0.3">
      <c r="A53" s="47"/>
      <c r="B53" s="48"/>
      <c r="C53" s="48"/>
      <c r="D53" s="49"/>
      <c r="E53" s="49"/>
      <c r="F53" s="49"/>
      <c r="G53" s="49"/>
      <c r="H53" s="49"/>
      <c r="I53" s="49"/>
      <c r="L53" s="33"/>
      <c r="M53" s="33"/>
      <c r="O53" s="13"/>
      <c r="P53"/>
      <c r="Q53"/>
      <c r="R53"/>
    </row>
    <row r="54" spans="1:19" x14ac:dyDescent="0.3">
      <c r="A54" s="47"/>
      <c r="B54" s="48"/>
      <c r="C54" s="48"/>
      <c r="D54" s="49"/>
      <c r="E54" s="49"/>
      <c r="F54" s="49"/>
      <c r="G54" s="49"/>
      <c r="H54" s="49"/>
      <c r="I54" s="49"/>
      <c r="L54" s="33"/>
      <c r="M54" s="33"/>
      <c r="O54" s="13"/>
      <c r="P54"/>
      <c r="Q54"/>
      <c r="R54"/>
    </row>
    <row r="55" spans="1:19" x14ac:dyDescent="0.3">
      <c r="A55" s="47"/>
      <c r="B55" s="48"/>
      <c r="C55" s="48"/>
      <c r="D55" s="49"/>
      <c r="E55" s="49"/>
      <c r="F55" s="49"/>
      <c r="G55" s="49"/>
      <c r="H55" s="49"/>
      <c r="I55" s="49"/>
      <c r="L55" s="33"/>
      <c r="M55" s="33"/>
      <c r="O55" s="13"/>
      <c r="P55"/>
      <c r="Q55"/>
      <c r="R55"/>
    </row>
    <row r="56" spans="1:19" x14ac:dyDescent="0.3">
      <c r="A56" s="47"/>
      <c r="B56" s="48"/>
      <c r="C56" s="48"/>
      <c r="D56" s="49"/>
      <c r="E56" s="49"/>
      <c r="F56" s="49"/>
      <c r="G56" s="49"/>
      <c r="H56" s="49"/>
      <c r="I56" s="49"/>
      <c r="L56" s="33"/>
      <c r="M56" s="33"/>
      <c r="O56" s="13"/>
      <c r="P56"/>
      <c r="Q56"/>
      <c r="R56"/>
    </row>
    <row r="57" spans="1:19" x14ac:dyDescent="0.3">
      <c r="A57" s="47"/>
      <c r="B57" s="48"/>
      <c r="C57" s="48"/>
      <c r="D57" s="62">
        <f>+((24*4+1)*366+(76*4-1)*365)/400</f>
        <v>365.24250000000001</v>
      </c>
      <c r="E57" s="49"/>
      <c r="F57" s="49"/>
      <c r="G57" s="49"/>
      <c r="H57" s="49"/>
      <c r="I57" s="49"/>
      <c r="L57" s="33"/>
      <c r="M57" s="33"/>
      <c r="O57" s="13"/>
      <c r="P57"/>
      <c r="Q57"/>
      <c r="R57"/>
    </row>
    <row r="58" spans="1:19" x14ac:dyDescent="0.3">
      <c r="A58" s="47"/>
      <c r="B58" s="48"/>
      <c r="C58" s="48"/>
      <c r="D58" s="63">
        <f>+D57/12</f>
        <v>30.436875000000001</v>
      </c>
      <c r="E58" s="62"/>
      <c r="F58" s="49"/>
      <c r="G58" s="49"/>
      <c r="H58" s="49"/>
      <c r="I58" s="49"/>
      <c r="L58" s="33"/>
      <c r="M58" s="33"/>
      <c r="O58" s="13"/>
      <c r="P58"/>
      <c r="Q58"/>
      <c r="R58"/>
    </row>
    <row r="59" spans="1:19" x14ac:dyDescent="0.3">
      <c r="A59" s="47"/>
      <c r="B59" s="48"/>
      <c r="C59" s="48"/>
      <c r="D59" s="63"/>
      <c r="E59" s="62"/>
      <c r="F59" s="49"/>
      <c r="G59" s="49"/>
      <c r="H59" s="49"/>
      <c r="I59" s="49"/>
      <c r="L59" s="33"/>
      <c r="M59" s="33"/>
      <c r="O59" s="13"/>
      <c r="P59"/>
      <c r="Q59"/>
      <c r="R59"/>
    </row>
    <row r="60" spans="1:19" x14ac:dyDescent="0.3">
      <c r="A60" s="47"/>
      <c r="B60" s="48"/>
      <c r="C60" s="48"/>
      <c r="D60" s="63"/>
      <c r="E60" s="62"/>
      <c r="F60" s="49"/>
      <c r="G60" s="49"/>
      <c r="H60" s="49"/>
      <c r="I60" s="49"/>
      <c r="L60" s="33"/>
      <c r="M60" s="33"/>
      <c r="O60" s="13"/>
      <c r="P60"/>
      <c r="Q60"/>
      <c r="R60"/>
    </row>
    <row r="61" spans="1:19" x14ac:dyDescent="0.3">
      <c r="A61" s="47"/>
      <c r="B61" s="48"/>
      <c r="C61" s="48"/>
      <c r="D61" s="63"/>
      <c r="E61" s="62"/>
      <c r="F61" s="49"/>
      <c r="G61" s="49"/>
      <c r="H61" s="49"/>
      <c r="I61" s="49"/>
      <c r="L61" s="33"/>
      <c r="M61" s="33"/>
      <c r="O61" s="13"/>
      <c r="P61"/>
      <c r="Q61"/>
      <c r="R61"/>
    </row>
    <row r="62" spans="1:19" x14ac:dyDescent="0.3">
      <c r="A62" s="47"/>
      <c r="B62" s="48"/>
      <c r="C62" s="48"/>
      <c r="D62" s="63"/>
      <c r="E62" s="62"/>
      <c r="F62" s="49"/>
      <c r="G62" s="49"/>
      <c r="H62" s="49"/>
      <c r="I62" s="49"/>
      <c r="L62" s="33"/>
      <c r="M62" s="33"/>
      <c r="O62" s="13"/>
      <c r="P62"/>
      <c r="Q62"/>
      <c r="R62"/>
    </row>
    <row r="63" spans="1:19" x14ac:dyDescent="0.3">
      <c r="A63" s="47"/>
      <c r="B63" s="48"/>
      <c r="C63" s="48"/>
      <c r="D63" s="63"/>
      <c r="E63" s="62"/>
      <c r="F63" s="49"/>
      <c r="G63" s="49"/>
      <c r="H63" s="49"/>
      <c r="I63" s="49"/>
      <c r="L63" s="33"/>
      <c r="M63" s="33"/>
      <c r="O63" s="13"/>
      <c r="P63"/>
      <c r="Q63"/>
      <c r="R63"/>
    </row>
    <row r="64" spans="1:19" x14ac:dyDescent="0.3">
      <c r="A64" s="47"/>
      <c r="B64" s="48"/>
      <c r="C64" s="48"/>
      <c r="D64" s="63"/>
      <c r="E64" s="62"/>
      <c r="F64" s="49"/>
      <c r="G64" s="49"/>
      <c r="H64" s="49"/>
      <c r="I64" s="49"/>
      <c r="L64" s="33"/>
      <c r="M64" s="33"/>
      <c r="O64" s="13"/>
      <c r="P64"/>
      <c r="Q64"/>
      <c r="R64"/>
    </row>
    <row r="65" spans="1:20" x14ac:dyDescent="0.3">
      <c r="A65" s="47"/>
      <c r="B65" s="48"/>
      <c r="C65" s="48"/>
      <c r="D65" s="63"/>
      <c r="E65" s="62"/>
      <c r="F65" s="49"/>
      <c r="G65" s="49"/>
      <c r="H65" s="49"/>
      <c r="I65" s="49"/>
      <c r="L65" s="33"/>
      <c r="M65" s="33"/>
      <c r="O65" s="13"/>
      <c r="P65"/>
      <c r="Q65"/>
      <c r="R65"/>
    </row>
    <row r="66" spans="1:20" x14ac:dyDescent="0.3">
      <c r="A66" s="47"/>
      <c r="B66" s="48"/>
      <c r="C66" s="48"/>
      <c r="D66" s="63"/>
      <c r="E66" s="62"/>
      <c r="F66" s="49"/>
      <c r="G66" s="49"/>
      <c r="H66" s="49"/>
      <c r="I66" s="49"/>
      <c r="L66" s="33"/>
      <c r="M66" s="33"/>
      <c r="O66" s="13"/>
      <c r="P66"/>
      <c r="Q66"/>
      <c r="R66"/>
    </row>
    <row r="67" spans="1:20" x14ac:dyDescent="0.3">
      <c r="A67" s="234" t="s">
        <v>88</v>
      </c>
      <c r="B67" s="13">
        <v>38202</v>
      </c>
      <c r="C67" s="235"/>
      <c r="D67" s="15">
        <v>28.8</v>
      </c>
      <c r="E67" s="13">
        <v>876</v>
      </c>
      <c r="F67" s="13">
        <v>10507</v>
      </c>
      <c r="G67"/>
      <c r="H67" s="17">
        <v>34459</v>
      </c>
      <c r="I67" s="18"/>
      <c r="J67" s="202">
        <v>35787</v>
      </c>
      <c r="K67" s="205">
        <f>+J67-H67</f>
        <v>1328</v>
      </c>
      <c r="L67" s="19" t="s">
        <v>17</v>
      </c>
      <c r="M67" s="19"/>
      <c r="N67" s="211"/>
      <c r="O67" s="23" t="s">
        <v>18</v>
      </c>
      <c r="P67" s="6"/>
      <c r="Q67" s="6"/>
      <c r="R67"/>
    </row>
    <row r="68" spans="1:20" x14ac:dyDescent="0.3">
      <c r="A68" s="356" t="s">
        <v>207</v>
      </c>
      <c r="B68" s="358">
        <v>982860</v>
      </c>
      <c r="C68" s="357"/>
      <c r="D68" s="239">
        <f>+B68/K68</f>
        <v>133.83169934640523</v>
      </c>
      <c r="E68" s="358">
        <f>+D68*30.436875</f>
        <v>4073.4187040441179</v>
      </c>
      <c r="F68" s="358">
        <f>+D68*365.2425</f>
        <v>48881.02444852941</v>
      </c>
      <c r="G68"/>
      <c r="H68" s="407">
        <v>35839</v>
      </c>
      <c r="I68" s="407"/>
      <c r="J68" s="202">
        <v>43183</v>
      </c>
      <c r="K68" s="205">
        <f>+J68-H68</f>
        <v>7344</v>
      </c>
      <c r="L68" s="19" t="s">
        <v>17</v>
      </c>
      <c r="M68" s="33"/>
      <c r="O68" s="236" t="s">
        <v>208</v>
      </c>
      <c r="P68"/>
      <c r="Q68"/>
      <c r="R68"/>
    </row>
    <row r="69" spans="1:20" x14ac:dyDescent="0.3">
      <c r="A69"/>
      <c r="B69"/>
      <c r="C69" s="72"/>
      <c r="D69" s="72"/>
      <c r="E69" s="359" t="s">
        <v>209</v>
      </c>
      <c r="F69" s="408">
        <f>+$B$67+MAX(Consumi!C:C)+3524+744+135+2817+B68</f>
        <v>1055559</v>
      </c>
      <c r="G69" s="408"/>
      <c r="H69"/>
      <c r="I69"/>
      <c r="L69" s="33"/>
      <c r="M69" s="33"/>
      <c r="O69" s="13"/>
      <c r="P69"/>
      <c r="Q69"/>
      <c r="R69"/>
    </row>
    <row r="70" spans="1:20" x14ac:dyDescent="0.3">
      <c r="A70" s="151" t="s">
        <v>29</v>
      </c>
      <c r="B70" s="409">
        <f>SUM(Consumi!F:F)</f>
        <v>1619.8259726219578</v>
      </c>
      <c r="C70" s="409"/>
      <c r="D70" s="152">
        <f>+SUM(Consumi!J:J)</f>
        <v>2581.2622000000019</v>
      </c>
      <c r="E70" s="153"/>
      <c r="F70" s="154">
        <f>+D70/B70</f>
        <v>1.5935429136389261</v>
      </c>
      <c r="G70" s="155" t="s">
        <v>19</v>
      </c>
      <c r="H70" s="156"/>
      <c r="I70" s="157"/>
      <c r="J70" s="351"/>
      <c r="K70" s="206"/>
      <c r="L70" s="148"/>
      <c r="M70" s="158"/>
      <c r="N70" s="193"/>
      <c r="O70" s="410" t="s">
        <v>19</v>
      </c>
      <c r="P70" s="410"/>
      <c r="R70" s="4"/>
    </row>
    <row r="71" spans="1:20" x14ac:dyDescent="0.3">
      <c r="A71" s="142" t="s">
        <v>20</v>
      </c>
      <c r="B71" s="143" t="s">
        <v>10</v>
      </c>
      <c r="C71" s="144" t="s">
        <v>23</v>
      </c>
      <c r="D71" s="145" t="s">
        <v>17</v>
      </c>
      <c r="E71" s="146" t="s">
        <v>21</v>
      </c>
      <c r="F71" s="146" t="s">
        <v>22</v>
      </c>
      <c r="G71" s="147" t="s">
        <v>17</v>
      </c>
      <c r="H71" s="25" t="s">
        <v>21</v>
      </c>
      <c r="I71" s="16" t="s">
        <v>22</v>
      </c>
      <c r="J71" s="351" t="s">
        <v>204</v>
      </c>
      <c r="K71" s="207" t="s">
        <v>10</v>
      </c>
      <c r="L71" s="148" t="s">
        <v>23</v>
      </c>
      <c r="M71" s="149" t="s">
        <v>26</v>
      </c>
      <c r="N71" s="194"/>
      <c r="O71" s="25" t="s">
        <v>26</v>
      </c>
      <c r="P71" s="150" t="s">
        <v>27</v>
      </c>
      <c r="Q71" s="8"/>
      <c r="R71" s="34"/>
      <c r="S71" s="233" t="s">
        <v>206</v>
      </c>
      <c r="T71" s="233" t="s">
        <v>87</v>
      </c>
    </row>
    <row r="72" spans="1:20" ht="12.9" x14ac:dyDescent="0.35">
      <c r="A72" s="289">
        <v>43190</v>
      </c>
      <c r="B72" s="30">
        <v>748</v>
      </c>
      <c r="C72" s="7">
        <f t="shared" ref="C72:C79" si="0">+B72*1.01</f>
        <v>755.48</v>
      </c>
      <c r="D72" s="15">
        <f>+C72/(A72+1-$J$72)</f>
        <v>101.29340782119611</v>
      </c>
      <c r="E72" s="168">
        <f>+D72*31</f>
        <v>3140.0956424570795</v>
      </c>
      <c r="F72" s="30">
        <f t="shared" ref="F72:F84" si="1">+D72*365.2425</f>
        <v>36996.657506133219</v>
      </c>
      <c r="G72" s="65">
        <f>+C72/(A72+1-$J$72)</f>
        <v>101.29340782119611</v>
      </c>
      <c r="H72" s="12">
        <f t="shared" ref="H72:H84" si="2">+G72*30.436875</f>
        <v>3083.0547921777684</v>
      </c>
      <c r="I72" s="14">
        <f t="shared" ref="I72:I78" si="3">+G72*365.2425</f>
        <v>36996.657506133219</v>
      </c>
      <c r="J72" s="296">
        <v>43183.541666666664</v>
      </c>
      <c r="K72" s="204">
        <v>0</v>
      </c>
      <c r="L72" s="29">
        <f>+K72*1.01</f>
        <v>0</v>
      </c>
      <c r="M72" s="352" t="s">
        <v>205</v>
      </c>
      <c r="N72" s="195">
        <v>0</v>
      </c>
      <c r="O72" s="353" t="s">
        <v>205</v>
      </c>
      <c r="P72" s="354" t="s">
        <v>205</v>
      </c>
      <c r="R72" s="4"/>
    </row>
    <row r="73" spans="1:20" x14ac:dyDescent="0.3">
      <c r="A73" s="289">
        <v>43220</v>
      </c>
      <c r="B73" s="30">
        <v>4012</v>
      </c>
      <c r="C73" s="7">
        <f t="shared" si="0"/>
        <v>4052.12</v>
      </c>
      <c r="D73" s="15">
        <f>+(C73-C72)/(A73-A72)</f>
        <v>109.88799999999999</v>
      </c>
      <c r="E73" s="141">
        <f>+C73-C72</f>
        <v>3296.64</v>
      </c>
      <c r="F73" s="30">
        <f t="shared" si="1"/>
        <v>40135.76784</v>
      </c>
      <c r="G73" s="65">
        <f>+C73/(A73+1-$J$72)</f>
        <v>108.17672969965929</v>
      </c>
      <c r="H73" s="12">
        <f t="shared" si="2"/>
        <v>3292.5615997773175</v>
      </c>
      <c r="I73" s="14">
        <f t="shared" si="3"/>
        <v>39510.739197327806</v>
      </c>
      <c r="J73" s="291">
        <v>43214.541666666664</v>
      </c>
      <c r="K73" s="204">
        <v>3045</v>
      </c>
      <c r="L73" s="29">
        <f>+K73*1.01</f>
        <v>3075.45</v>
      </c>
      <c r="M73" s="68">
        <f>+L73-L72</f>
        <v>3075.45</v>
      </c>
      <c r="N73" s="195">
        <v>1</v>
      </c>
      <c r="O73" s="141">
        <f t="shared" ref="O73:O84" si="4">+L73/N73</f>
        <v>3075.45</v>
      </c>
      <c r="P73" s="30">
        <f t="shared" ref="P73:P84" si="5">+O73*12</f>
        <v>36905.399999999994</v>
      </c>
      <c r="R73" s="4"/>
    </row>
    <row r="74" spans="1:20" x14ac:dyDescent="0.3">
      <c r="A74" s="289">
        <v>43251</v>
      </c>
      <c r="B74" s="30">
        <v>9906</v>
      </c>
      <c r="C74" s="7">
        <f t="shared" si="0"/>
        <v>10005.06</v>
      </c>
      <c r="D74" s="15">
        <f t="shared" ref="D74:D84" si="6">+(C74-C73)/(A74-A73)</f>
        <v>192.03032258064516</v>
      </c>
      <c r="E74" s="141">
        <f>+C74-C73</f>
        <v>5952.94</v>
      </c>
      <c r="F74" s="30">
        <f t="shared" si="1"/>
        <v>70137.635095161299</v>
      </c>
      <c r="G74" s="65">
        <f>+C74/(A74+1-$J$72)</f>
        <v>146.1481679853874</v>
      </c>
      <c r="H74" s="12">
        <f t="shared" si="2"/>
        <v>4448.2935204502382</v>
      </c>
      <c r="I74" s="14">
        <f t="shared" si="3"/>
        <v>53379.522245402863</v>
      </c>
      <c r="J74" s="291">
        <v>43244.541666666664</v>
      </c>
      <c r="K74" s="204">
        <v>9350</v>
      </c>
      <c r="L74" s="29">
        <f t="shared" ref="L74:L79" si="7">+K74*1.01</f>
        <v>9443.5</v>
      </c>
      <c r="M74" s="68">
        <f t="shared" ref="M74:M84" si="8">+L74-L73</f>
        <v>6368.05</v>
      </c>
      <c r="N74" s="195">
        <v>2</v>
      </c>
      <c r="O74" s="141">
        <f t="shared" si="4"/>
        <v>4721.75</v>
      </c>
      <c r="P74" s="30">
        <f t="shared" si="5"/>
        <v>56661</v>
      </c>
      <c r="R74" s="4"/>
    </row>
    <row r="75" spans="1:20" x14ac:dyDescent="0.3">
      <c r="A75" s="355">
        <v>43281</v>
      </c>
      <c r="B75" s="30">
        <v>22626</v>
      </c>
      <c r="C75" s="7">
        <f t="shared" si="0"/>
        <v>22852.26</v>
      </c>
      <c r="D75" s="15">
        <f t="shared" si="6"/>
        <v>428.23999999999995</v>
      </c>
      <c r="E75" s="224">
        <f>+C75-C74</f>
        <v>12847.199999999999</v>
      </c>
      <c r="F75" s="225">
        <f t="shared" si="1"/>
        <v>156411.44819999998</v>
      </c>
      <c r="G75" s="65">
        <f t="shared" ref="G75:G84" si="9">+C75/(A75+1-$J$72)</f>
        <v>232.10082099026087</v>
      </c>
      <c r="H75" s="12">
        <f t="shared" si="2"/>
        <v>7064.4236758779462</v>
      </c>
      <c r="I75" s="14">
        <f t="shared" si="3"/>
        <v>84773.084110535361</v>
      </c>
      <c r="J75" s="291">
        <v>43275</v>
      </c>
      <c r="K75" s="204">
        <v>19600</v>
      </c>
      <c r="L75" s="29">
        <f t="shared" si="7"/>
        <v>19796</v>
      </c>
      <c r="M75" s="238">
        <f t="shared" si="8"/>
        <v>10352.5</v>
      </c>
      <c r="N75" s="195">
        <v>3</v>
      </c>
      <c r="O75" s="141">
        <f t="shared" si="4"/>
        <v>6598.666666666667</v>
      </c>
      <c r="P75" s="30">
        <f t="shared" si="5"/>
        <v>79184</v>
      </c>
      <c r="R75" s="4"/>
    </row>
    <row r="76" spans="1:20" x14ac:dyDescent="0.3">
      <c r="A76" s="289">
        <v>43312</v>
      </c>
      <c r="B76" s="31">
        <v>24553</v>
      </c>
      <c r="C76" s="7">
        <f t="shared" si="0"/>
        <v>24798.53</v>
      </c>
      <c r="D76" s="15">
        <f t="shared" si="6"/>
        <v>62.782903225806464</v>
      </c>
      <c r="E76" s="141">
        <f>+C76-C75</f>
        <v>1946.2700000000004</v>
      </c>
      <c r="F76" s="30">
        <f t="shared" si="1"/>
        <v>22930.984531451617</v>
      </c>
      <c r="G76" s="65">
        <f t="shared" si="9"/>
        <v>191.55607338268067</v>
      </c>
      <c r="H76" s="12">
        <f t="shared" si="2"/>
        <v>5830.368261039479</v>
      </c>
      <c r="I76" s="14">
        <f t="shared" si="3"/>
        <v>69964.419132473748</v>
      </c>
      <c r="J76" s="291">
        <v>43305</v>
      </c>
      <c r="K76" s="204">
        <v>24553</v>
      </c>
      <c r="L76" s="29">
        <f t="shared" si="7"/>
        <v>24798.53</v>
      </c>
      <c r="M76" s="68">
        <f t="shared" si="8"/>
        <v>5002.5299999999988</v>
      </c>
      <c r="N76" s="195">
        <v>4</v>
      </c>
      <c r="O76" s="141">
        <f t="shared" si="4"/>
        <v>6199.6324999999997</v>
      </c>
      <c r="P76" s="30">
        <f t="shared" si="5"/>
        <v>74395.59</v>
      </c>
      <c r="R76" s="4"/>
    </row>
    <row r="77" spans="1:20" x14ac:dyDescent="0.3">
      <c r="A77" s="289">
        <v>43343</v>
      </c>
      <c r="B77" s="31">
        <v>24553</v>
      </c>
      <c r="C77" s="7">
        <f t="shared" si="0"/>
        <v>24798.53</v>
      </c>
      <c r="D77" s="15">
        <f t="shared" si="6"/>
        <v>0</v>
      </c>
      <c r="E77" s="141">
        <f t="shared" ref="E77:E84" si="10">+C77-C76</f>
        <v>0</v>
      </c>
      <c r="F77" s="30">
        <f t="shared" si="1"/>
        <v>0</v>
      </c>
      <c r="G77" s="65">
        <f t="shared" si="9"/>
        <v>154.54809659828382</v>
      </c>
      <c r="H77" s="12">
        <f t="shared" si="2"/>
        <v>4703.9610976498898</v>
      </c>
      <c r="I77" s="14">
        <f t="shared" si="3"/>
        <v>56447.533171798677</v>
      </c>
      <c r="J77" s="291">
        <v>43336</v>
      </c>
      <c r="K77" s="204">
        <v>24553</v>
      </c>
      <c r="L77" s="29">
        <f t="shared" si="7"/>
        <v>24798.53</v>
      </c>
      <c r="M77" s="68">
        <f t="shared" si="8"/>
        <v>0</v>
      </c>
      <c r="N77" s="195">
        <v>5</v>
      </c>
      <c r="O77" s="141">
        <f t="shared" si="4"/>
        <v>4959.7060000000001</v>
      </c>
      <c r="P77" s="30">
        <f t="shared" si="5"/>
        <v>59516.472000000002</v>
      </c>
      <c r="R77" s="4"/>
    </row>
    <row r="78" spans="1:20" x14ac:dyDescent="0.3">
      <c r="A78" s="355">
        <v>43373</v>
      </c>
      <c r="B78" s="30">
        <v>26492</v>
      </c>
      <c r="C78" s="7">
        <f t="shared" si="0"/>
        <v>26756.920000000002</v>
      </c>
      <c r="D78" s="15">
        <f t="shared" si="6"/>
        <v>65.27966666666677</v>
      </c>
      <c r="E78" s="141">
        <f t="shared" si="10"/>
        <v>1958.3900000000031</v>
      </c>
      <c r="F78" s="30">
        <f t="shared" si="1"/>
        <v>23842.908652500038</v>
      </c>
      <c r="G78" s="65">
        <f t="shared" si="9"/>
        <v>140.48700065630976</v>
      </c>
      <c r="H78" s="12">
        <f t="shared" si="2"/>
        <v>4275.9852781010186</v>
      </c>
      <c r="I78" s="14">
        <f t="shared" si="3"/>
        <v>51311.823337212219</v>
      </c>
      <c r="J78" s="291">
        <v>43367</v>
      </c>
      <c r="K78" s="204">
        <v>25466</v>
      </c>
      <c r="L78" s="29">
        <f t="shared" si="7"/>
        <v>25720.66</v>
      </c>
      <c r="M78" s="68">
        <f t="shared" si="8"/>
        <v>922.13000000000102</v>
      </c>
      <c r="N78" s="195">
        <v>6</v>
      </c>
      <c r="O78" s="141">
        <f t="shared" si="4"/>
        <v>4286.7766666666666</v>
      </c>
      <c r="P78" s="30">
        <f t="shared" si="5"/>
        <v>51441.32</v>
      </c>
      <c r="R78" s="4">
        <v>1</v>
      </c>
      <c r="S78" s="37">
        <f>+L83</f>
        <v>0</v>
      </c>
      <c r="T78" s="164">
        <f>Mesi!G14</f>
        <v>0</v>
      </c>
    </row>
    <row r="79" spans="1:20" x14ac:dyDescent="0.3">
      <c r="A79" s="289">
        <v>43404</v>
      </c>
      <c r="B79" s="31"/>
      <c r="C79" s="7">
        <f t="shared" si="0"/>
        <v>0</v>
      </c>
      <c r="D79" s="15">
        <f t="shared" si="6"/>
        <v>-863.12645161290334</v>
      </c>
      <c r="E79" s="141">
        <f t="shared" si="10"/>
        <v>-26756.920000000002</v>
      </c>
      <c r="F79" s="30">
        <f t="shared" si="1"/>
        <v>-315250.46300322586</v>
      </c>
      <c r="G79" s="65">
        <f t="shared" si="9"/>
        <v>0</v>
      </c>
      <c r="H79" s="12">
        <f t="shared" si="2"/>
        <v>0</v>
      </c>
      <c r="I79" s="14">
        <f t="shared" ref="I79:I84" si="11">+G79*365.2425</f>
        <v>0</v>
      </c>
      <c r="J79" s="293">
        <v>43397</v>
      </c>
      <c r="K79" s="204"/>
      <c r="L79" s="29">
        <f t="shared" si="7"/>
        <v>0</v>
      </c>
      <c r="M79" s="68">
        <f t="shared" si="8"/>
        <v>-25720.66</v>
      </c>
      <c r="N79" s="195">
        <v>7</v>
      </c>
      <c r="O79" s="141">
        <f t="shared" si="4"/>
        <v>0</v>
      </c>
      <c r="P79" s="30">
        <f t="shared" si="5"/>
        <v>0</v>
      </c>
      <c r="R79" s="4"/>
      <c r="S79" s="36"/>
    </row>
    <row r="80" spans="1:20" x14ac:dyDescent="0.3">
      <c r="A80" s="289">
        <v>43434</v>
      </c>
      <c r="B80" s="31"/>
      <c r="C80" s="7">
        <f t="shared" ref="C80:C84" si="12">+B80*1.007</f>
        <v>0</v>
      </c>
      <c r="D80" s="15">
        <f t="shared" si="6"/>
        <v>0</v>
      </c>
      <c r="E80" s="141">
        <f t="shared" si="10"/>
        <v>0</v>
      </c>
      <c r="F80" s="30">
        <f t="shared" si="1"/>
        <v>0</v>
      </c>
      <c r="G80" s="65">
        <f t="shared" si="9"/>
        <v>0</v>
      </c>
      <c r="H80" s="12">
        <f t="shared" si="2"/>
        <v>0</v>
      </c>
      <c r="I80" s="14">
        <f t="shared" si="11"/>
        <v>0</v>
      </c>
      <c r="J80" s="293">
        <v>43428</v>
      </c>
      <c r="K80" s="204"/>
      <c r="L80" s="29">
        <f t="shared" ref="L80:L84" si="13">+K80*1.007</f>
        <v>0</v>
      </c>
      <c r="M80" s="68">
        <f t="shared" si="8"/>
        <v>0</v>
      </c>
      <c r="N80" s="195">
        <v>8</v>
      </c>
      <c r="O80" s="141">
        <f t="shared" si="4"/>
        <v>0</v>
      </c>
      <c r="P80" s="30">
        <f t="shared" si="5"/>
        <v>0</v>
      </c>
      <c r="R80" s="4"/>
    </row>
    <row r="81" spans="1:19" x14ac:dyDescent="0.3">
      <c r="A81" s="290">
        <v>43465</v>
      </c>
      <c r="B81" s="44"/>
      <c r="C81" s="39">
        <f t="shared" si="12"/>
        <v>0</v>
      </c>
      <c r="D81" s="40">
        <f t="shared" si="6"/>
        <v>0</v>
      </c>
      <c r="E81" s="41">
        <f t="shared" si="10"/>
        <v>0</v>
      </c>
      <c r="F81" s="43">
        <f t="shared" si="1"/>
        <v>0</v>
      </c>
      <c r="G81" s="66">
        <f t="shared" si="9"/>
        <v>0</v>
      </c>
      <c r="H81" s="41">
        <f t="shared" si="2"/>
        <v>0</v>
      </c>
      <c r="I81" s="38">
        <f t="shared" si="11"/>
        <v>0</v>
      </c>
      <c r="J81" s="292">
        <v>43458</v>
      </c>
      <c r="K81" s="208"/>
      <c r="L81" s="42">
        <f t="shared" si="13"/>
        <v>0</v>
      </c>
      <c r="M81" s="69">
        <f t="shared" si="8"/>
        <v>0</v>
      </c>
      <c r="N81" s="196">
        <v>9</v>
      </c>
      <c r="O81" s="41">
        <f t="shared" si="4"/>
        <v>0</v>
      </c>
      <c r="P81" s="43">
        <f t="shared" si="5"/>
        <v>0</v>
      </c>
      <c r="R81" s="4"/>
    </row>
    <row r="82" spans="1:19" x14ac:dyDescent="0.3">
      <c r="A82" s="289">
        <v>43496</v>
      </c>
      <c r="B82" s="31"/>
      <c r="C82" s="7">
        <f>+B82*1.01</f>
        <v>0</v>
      </c>
      <c r="D82" s="15">
        <f t="shared" ref="D82:D83" si="14">+(C82-C81)/(A82-A81)</f>
        <v>0</v>
      </c>
      <c r="E82" s="141">
        <f t="shared" ref="E82:E83" si="15">+C82-C81</f>
        <v>0</v>
      </c>
      <c r="F82" s="30">
        <f t="shared" ref="F82:F83" si="16">+D82*365.2425</f>
        <v>0</v>
      </c>
      <c r="G82" s="65">
        <f t="shared" ref="G82:G83" si="17">+C82/(A82+1-$J$72)</f>
        <v>0</v>
      </c>
      <c r="H82" s="12">
        <f t="shared" ref="H82:H83" si="18">+G82*30.436875</f>
        <v>0</v>
      </c>
      <c r="I82" s="14">
        <f t="shared" ref="I82:I83" si="19">+G82*365.2425</f>
        <v>0</v>
      </c>
      <c r="J82" s="294">
        <v>43489</v>
      </c>
      <c r="K82" s="209"/>
      <c r="L82" s="45">
        <f t="shared" si="13"/>
        <v>0</v>
      </c>
      <c r="M82" s="68">
        <f t="shared" si="8"/>
        <v>0</v>
      </c>
      <c r="N82" s="197">
        <v>10</v>
      </c>
      <c r="O82" s="175">
        <f t="shared" si="4"/>
        <v>0</v>
      </c>
      <c r="P82" s="46">
        <f t="shared" si="5"/>
        <v>0</v>
      </c>
      <c r="R82" s="4"/>
    </row>
    <row r="83" spans="1:19" x14ac:dyDescent="0.3">
      <c r="A83" s="289">
        <v>43524</v>
      </c>
      <c r="B83" s="31"/>
      <c r="C83" s="7">
        <f t="shared" ref="C83" si="20">+B83*1.007</f>
        <v>0</v>
      </c>
      <c r="D83" s="15">
        <f t="shared" si="14"/>
        <v>0</v>
      </c>
      <c r="E83" s="141">
        <f t="shared" si="15"/>
        <v>0</v>
      </c>
      <c r="F83" s="30">
        <f t="shared" si="16"/>
        <v>0</v>
      </c>
      <c r="G83" s="65">
        <f t="shared" si="17"/>
        <v>0</v>
      </c>
      <c r="H83" s="12">
        <f t="shared" si="18"/>
        <v>0</v>
      </c>
      <c r="I83" s="14">
        <f t="shared" si="19"/>
        <v>0</v>
      </c>
      <c r="J83" s="293">
        <v>43520</v>
      </c>
      <c r="K83" s="360"/>
      <c r="L83" s="229">
        <f t="shared" si="13"/>
        <v>0</v>
      </c>
      <c r="M83" s="228">
        <f t="shared" si="8"/>
        <v>0</v>
      </c>
      <c r="N83" s="230">
        <v>11</v>
      </c>
      <c r="O83" s="227">
        <f t="shared" si="4"/>
        <v>0</v>
      </c>
      <c r="P83" s="31">
        <f t="shared" si="5"/>
        <v>0</v>
      </c>
      <c r="R83" s="4"/>
    </row>
    <row r="84" spans="1:19" x14ac:dyDescent="0.3">
      <c r="A84" s="289">
        <v>43190</v>
      </c>
      <c r="B84" s="31"/>
      <c r="C84" s="7">
        <f t="shared" si="12"/>
        <v>0</v>
      </c>
      <c r="D84" s="15">
        <f t="shared" si="6"/>
        <v>0</v>
      </c>
      <c r="E84" s="141">
        <f t="shared" si="10"/>
        <v>0</v>
      </c>
      <c r="F84" s="30">
        <f t="shared" si="1"/>
        <v>0</v>
      </c>
      <c r="G84" s="65">
        <f t="shared" si="9"/>
        <v>0</v>
      </c>
      <c r="H84" s="12">
        <f t="shared" si="2"/>
        <v>0</v>
      </c>
      <c r="I84" s="14">
        <f t="shared" si="11"/>
        <v>0</v>
      </c>
      <c r="J84" s="295">
        <v>43548</v>
      </c>
      <c r="K84" s="210"/>
      <c r="L84" s="35">
        <f t="shared" si="13"/>
        <v>0</v>
      </c>
      <c r="M84" s="70">
        <f t="shared" si="8"/>
        <v>0</v>
      </c>
      <c r="N84" s="198">
        <v>12</v>
      </c>
      <c r="O84" s="167">
        <f t="shared" si="4"/>
        <v>0</v>
      </c>
      <c r="P84" s="67">
        <f t="shared" si="5"/>
        <v>0</v>
      </c>
      <c r="R84" s="4"/>
      <c r="S84" s="37"/>
    </row>
    <row r="85" spans="1:19" x14ac:dyDescent="0.3">
      <c r="C85" s="309"/>
    </row>
    <row r="86" spans="1:19" x14ac:dyDescent="0.3">
      <c r="C86" s="309"/>
    </row>
    <row r="87" spans="1:19" x14ac:dyDescent="0.3">
      <c r="C87" s="309"/>
    </row>
    <row r="88" spans="1:19" x14ac:dyDescent="0.3">
      <c r="C88" s="309"/>
    </row>
  </sheetData>
  <mergeCells count="4">
    <mergeCell ref="H68:I68"/>
    <mergeCell ref="F69:G69"/>
    <mergeCell ref="B70:C70"/>
    <mergeCell ref="O70:P70"/>
  </mergeCells>
  <phoneticPr fontId="2" type="noConversion"/>
  <pageMargins left="0" right="0" top="0.39370078740157483" bottom="0.39370078740157483" header="0.19685039370078741" footer="0.19685039370078741"/>
  <pageSetup paperSize="9" scale="95" orientation="portrait" horizontalDpi="4294967295" verticalDpi="4294967295" r:id="rId1"/>
  <headerFooter alignWithMargins="0">
    <oddHeader>&amp;L&amp;D&amp;C&amp;F-&amp;A&amp;R&amp;T</oddHeader>
    <oddFooter>&amp;C&amp;P</oddFooter>
  </headerFooter>
  <rowBreaks count="1" manualBreakCount="1">
    <brk id="66" max="15"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91"/>
  <sheetViews>
    <sheetView workbookViewId="0">
      <selection activeCell="Z18" sqref="Z18"/>
    </sheetView>
  </sheetViews>
  <sheetFormatPr defaultRowHeight="12.45" x14ac:dyDescent="0.3"/>
  <cols>
    <col min="1" max="1" width="3" bestFit="1" customWidth="1"/>
    <col min="2" max="2" width="9.3046875" bestFit="1" customWidth="1"/>
    <col min="3" max="3" width="8.69140625" customWidth="1"/>
    <col min="4" max="4" width="6.69140625" customWidth="1"/>
    <col min="5" max="5" width="7.69140625" customWidth="1"/>
    <col min="6" max="6" width="6.53515625" bestFit="1" customWidth="1"/>
    <col min="7" max="7" width="8.3046875" bestFit="1" customWidth="1"/>
    <col min="8" max="8" width="7.69140625" customWidth="1"/>
    <col min="9" max="12" width="7.69140625" style="71" customWidth="1"/>
    <col min="13" max="13" width="7.69140625" style="71" bestFit="1" customWidth="1"/>
    <col min="14" max="19" width="7.69140625" style="71" customWidth="1"/>
    <col min="20" max="20" width="7.69140625" style="71" bestFit="1" customWidth="1"/>
    <col min="21" max="24" width="7.69140625" style="71" customWidth="1"/>
    <col min="25" max="25" width="8.69140625" customWidth="1"/>
    <col min="26" max="26" width="9.3046875" customWidth="1"/>
    <col min="27" max="27" width="9.53515625" customWidth="1"/>
    <col min="28" max="28" width="7.69140625" customWidth="1"/>
  </cols>
  <sheetData>
    <row r="1" spans="1:28" x14ac:dyDescent="0.3">
      <c r="A1" s="109"/>
      <c r="B1" s="110" t="s">
        <v>41</v>
      </c>
      <c r="C1" s="111">
        <v>19</v>
      </c>
      <c r="D1" s="88" t="s">
        <v>42</v>
      </c>
      <c r="E1" s="89" t="s">
        <v>43</v>
      </c>
      <c r="F1" s="24" t="s">
        <v>48</v>
      </c>
      <c r="G1" s="90">
        <v>1998</v>
      </c>
      <c r="H1" s="133">
        <v>1999</v>
      </c>
      <c r="I1" s="91">
        <v>2000</v>
      </c>
      <c r="J1" s="130">
        <v>2001</v>
      </c>
      <c r="K1" s="130">
        <v>2002</v>
      </c>
      <c r="L1" s="130">
        <v>2003</v>
      </c>
      <c r="M1" s="91">
        <v>2004</v>
      </c>
      <c r="N1" s="242">
        <v>2005</v>
      </c>
      <c r="O1" s="299">
        <v>2006</v>
      </c>
      <c r="P1" s="242">
        <v>2007</v>
      </c>
      <c r="Q1" s="246">
        <v>2008</v>
      </c>
      <c r="R1" s="242">
        <v>2009</v>
      </c>
      <c r="S1" s="246">
        <v>2010</v>
      </c>
      <c r="T1" s="246">
        <v>2011</v>
      </c>
      <c r="U1" s="242">
        <v>2012</v>
      </c>
      <c r="V1" s="242">
        <v>2013</v>
      </c>
      <c r="W1" s="242">
        <v>2014</v>
      </c>
      <c r="X1" s="242">
        <v>2015</v>
      </c>
      <c r="Y1" s="242">
        <v>2016</v>
      </c>
      <c r="Z1" s="216"/>
    </row>
    <row r="2" spans="1:28" ht="12.9" x14ac:dyDescent="0.35">
      <c r="A2" s="259" t="s">
        <v>49</v>
      </c>
      <c r="B2" s="115" t="s">
        <v>54</v>
      </c>
      <c r="C2" s="120" t="e">
        <f t="shared" ref="C2:C13" si="0">SUM(G2:Y2)</f>
        <v>#REF!</v>
      </c>
      <c r="D2" s="120" t="e">
        <f>+C2/C$1</f>
        <v>#REF!</v>
      </c>
      <c r="E2" s="137" t="e">
        <f>+D2*12</f>
        <v>#REF!</v>
      </c>
      <c r="F2" s="260" t="e">
        <f t="shared" ref="F2:F13" si="1">+D2/E$14*100</f>
        <v>#REF!</v>
      </c>
      <c r="G2" s="169">
        <f>+Totale!G82*31</f>
        <v>0</v>
      </c>
      <c r="H2" s="249">
        <f>+Totale!E83</f>
        <v>0</v>
      </c>
      <c r="I2" s="137" t="e">
        <f>+Totale!#REF!</f>
        <v>#REF!</v>
      </c>
      <c r="J2" s="138" t="e">
        <f>+Totale!#REF!</f>
        <v>#REF!</v>
      </c>
      <c r="K2" s="181" t="e">
        <f>+Totale!#REF!</f>
        <v>#REF!</v>
      </c>
      <c r="L2" s="176" t="e">
        <f>+Totale!#REF!</f>
        <v>#REF!</v>
      </c>
      <c r="M2" s="213" t="e">
        <f>+Totale!#REF!</f>
        <v>#REF!</v>
      </c>
      <c r="N2" s="176" t="e">
        <f>+Totale!#REF!</f>
        <v>#REF!</v>
      </c>
      <c r="O2" s="221" t="e">
        <f>+Totale!#REF!</f>
        <v>#REF!</v>
      </c>
      <c r="P2" s="176" t="e">
        <f>+Totale!#REF!</f>
        <v>#REF!</v>
      </c>
      <c r="Q2" s="181" t="e">
        <f>+Totale!#REF!</f>
        <v>#REF!</v>
      </c>
      <c r="R2" s="176" t="e">
        <f>+Totale!#REF!</f>
        <v>#REF!</v>
      </c>
      <c r="S2" s="176" t="e">
        <f>+Totale!#REF!</f>
        <v>#REF!</v>
      </c>
      <c r="T2" s="251" t="e">
        <f>+Totale!#REF!</f>
        <v>#REF!</v>
      </c>
      <c r="U2" s="251" t="e">
        <f>+Totale!#REF!</f>
        <v>#REF!</v>
      </c>
      <c r="V2" s="251" t="e">
        <f>+Totale!#REF!</f>
        <v>#REF!</v>
      </c>
      <c r="W2" s="251" t="e">
        <f>+Totale!#REF!</f>
        <v>#REF!</v>
      </c>
      <c r="X2" s="288" t="e">
        <f>+Totale!#REF!</f>
        <v>#REF!</v>
      </c>
      <c r="Y2" s="79" t="e">
        <f>+Totale!#REF!</f>
        <v>#REF!</v>
      </c>
      <c r="Z2" s="13">
        <f t="shared" ref="Z2:Z13" si="2">+E$15</f>
        <v>62685.425485074622</v>
      </c>
    </row>
    <row r="3" spans="1:28" ht="12.9" x14ac:dyDescent="0.35">
      <c r="A3" s="261" t="s">
        <v>49</v>
      </c>
      <c r="B3" s="262" t="s">
        <v>30</v>
      </c>
      <c r="C3" s="263" t="e">
        <f t="shared" si="0"/>
        <v>#REF!</v>
      </c>
      <c r="D3" s="264" t="e">
        <f t="shared" ref="D3:D13" si="3">+C3/C$1</f>
        <v>#REF!</v>
      </c>
      <c r="E3" s="265" t="e">
        <f t="shared" ref="E3:E13" si="4">+D3*12</f>
        <v>#REF!</v>
      </c>
      <c r="F3" s="266" t="e">
        <f t="shared" si="1"/>
        <v>#REF!</v>
      </c>
      <c r="G3" s="267">
        <f>+Totale!C72+Totale!G82*13</f>
        <v>755.48</v>
      </c>
      <c r="H3" s="263">
        <f>+Totale!E84</f>
        <v>0</v>
      </c>
      <c r="I3" s="264" t="e">
        <f>+Totale!#REF!</f>
        <v>#REF!</v>
      </c>
      <c r="J3" s="268" t="e">
        <f>+Totale!#REF!</f>
        <v>#REF!</v>
      </c>
      <c r="K3" s="269" t="e">
        <f>+Totale!#REF!</f>
        <v>#REF!</v>
      </c>
      <c r="L3" s="270" t="e">
        <f>+Totale!#REF!</f>
        <v>#REF!</v>
      </c>
      <c r="M3" s="271" t="e">
        <f>+Totale!#REF!</f>
        <v>#REF!</v>
      </c>
      <c r="N3" s="270" t="e">
        <f>+Totale!#REF!</f>
        <v>#REF!</v>
      </c>
      <c r="O3" s="272" t="e">
        <f>+Totale!#REF!</f>
        <v>#REF!</v>
      </c>
      <c r="P3" s="273" t="e">
        <f>+Totale!#REF!</f>
        <v>#REF!</v>
      </c>
      <c r="Q3" s="274" t="e">
        <f>+Totale!#REF!</f>
        <v>#REF!</v>
      </c>
      <c r="R3" s="272" t="e">
        <f>+Totale!#REF!</f>
        <v>#REF!</v>
      </c>
      <c r="S3" s="272" t="e">
        <f>+Totale!#REF!</f>
        <v>#REF!</v>
      </c>
      <c r="T3" s="272" t="e">
        <f>+Totale!#REF!</f>
        <v>#REF!</v>
      </c>
      <c r="U3" s="270" t="e">
        <f>+Totale!#REF!</f>
        <v>#REF!</v>
      </c>
      <c r="V3" s="275" t="e">
        <f>+Totale!#REF!</f>
        <v>#REF!</v>
      </c>
      <c r="W3" s="275" t="e">
        <f>+Totale!#REF!</f>
        <v>#REF!</v>
      </c>
      <c r="X3" s="275" t="e">
        <f>+Totale!#REF!</f>
        <v>#REF!</v>
      </c>
      <c r="Y3" s="275" t="e">
        <f>+Totale!#REF!</f>
        <v>#REF!</v>
      </c>
      <c r="Z3" s="13">
        <f t="shared" si="2"/>
        <v>62685.425485074622</v>
      </c>
    </row>
    <row r="4" spans="1:28" x14ac:dyDescent="0.3">
      <c r="A4" s="92" t="s">
        <v>50</v>
      </c>
      <c r="B4" s="84" t="s">
        <v>31</v>
      </c>
      <c r="C4" s="78" t="e">
        <f t="shared" si="0"/>
        <v>#REF!</v>
      </c>
      <c r="D4" s="78" t="e">
        <f t="shared" si="3"/>
        <v>#REF!</v>
      </c>
      <c r="E4" s="81" t="e">
        <f>+D4*12</f>
        <v>#REF!</v>
      </c>
      <c r="F4" s="74" t="e">
        <f t="shared" si="1"/>
        <v>#REF!</v>
      </c>
      <c r="G4" s="134">
        <f>+Totale!E73</f>
        <v>3296.64</v>
      </c>
      <c r="H4" s="79" t="e">
        <f>+Totale!#REF!</f>
        <v>#REF!</v>
      </c>
      <c r="I4" s="78" t="e">
        <f>+Totale!#REF!</f>
        <v>#REF!</v>
      </c>
      <c r="J4" s="129" t="e">
        <f>+Totale!#REF!</f>
        <v>#REF!</v>
      </c>
      <c r="K4" s="166" t="e">
        <f>+Totale!#REF!</f>
        <v>#REF!</v>
      </c>
      <c r="L4" s="178" t="e">
        <f>+Totale!#REF!</f>
        <v>#REF!</v>
      </c>
      <c r="M4" s="186" t="e">
        <f>+Totale!#REF!</f>
        <v>#REF!</v>
      </c>
      <c r="N4" s="244" t="e">
        <f>+Totale!#REF!</f>
        <v>#REF!</v>
      </c>
      <c r="O4" s="178" t="e">
        <f>+Totale!#REF!</f>
        <v>#REF!</v>
      </c>
      <c r="P4" s="178" t="e">
        <f>+Totale!#REF!</f>
        <v>#REF!</v>
      </c>
      <c r="Q4" s="166" t="e">
        <f>+Totale!#REF!</f>
        <v>#REF!</v>
      </c>
      <c r="R4" s="178" t="e">
        <f>+Totale!#REF!</f>
        <v>#REF!</v>
      </c>
      <c r="S4" s="243" t="e">
        <f>+Totale!#REF!</f>
        <v>#REF!</v>
      </c>
      <c r="T4" s="178" t="e">
        <f>+Totale!#REF!</f>
        <v>#REF!</v>
      </c>
      <c r="U4" s="178" t="e">
        <f>+Totale!#REF!</f>
        <v>#REF!</v>
      </c>
      <c r="V4" s="244" t="e">
        <f>+Totale!#REF!</f>
        <v>#REF!</v>
      </c>
      <c r="W4" s="244" t="e">
        <f>+Totale!#REF!</f>
        <v>#REF!</v>
      </c>
      <c r="X4" s="304" t="e">
        <f>+Totale!#REF!</f>
        <v>#REF!</v>
      </c>
      <c r="Y4" s="304" t="e">
        <f>+Totale!#REF!</f>
        <v>#REF!</v>
      </c>
      <c r="Z4" s="13">
        <f t="shared" si="2"/>
        <v>62685.425485074622</v>
      </c>
    </row>
    <row r="5" spans="1:28" x14ac:dyDescent="0.3">
      <c r="A5" s="127" t="s">
        <v>49</v>
      </c>
      <c r="B5" s="84" t="s">
        <v>32</v>
      </c>
      <c r="C5" s="78" t="e">
        <f t="shared" si="0"/>
        <v>#REF!</v>
      </c>
      <c r="D5" s="78" t="e">
        <f t="shared" si="3"/>
        <v>#REF!</v>
      </c>
      <c r="E5" s="81" t="e">
        <f>+D5*12</f>
        <v>#REF!</v>
      </c>
      <c r="F5" s="74" t="e">
        <f t="shared" si="1"/>
        <v>#REF!</v>
      </c>
      <c r="G5" s="248">
        <f>+Totale!E74</f>
        <v>5952.94</v>
      </c>
      <c r="H5" s="78" t="e">
        <f>+Totale!#REF!</f>
        <v>#REF!</v>
      </c>
      <c r="I5" s="78" t="e">
        <f>+Totale!#REF!</f>
        <v>#REF!</v>
      </c>
      <c r="J5" s="129" t="e">
        <f>+Totale!#REF!</f>
        <v>#REF!</v>
      </c>
      <c r="K5" s="166" t="e">
        <f>+Totale!#REF!</f>
        <v>#REF!</v>
      </c>
      <c r="L5" s="178" t="e">
        <f>+Totale!#REF!</f>
        <v>#REF!</v>
      </c>
      <c r="M5" s="214" t="e">
        <f>+Totale!#REF!</f>
        <v>#REF!</v>
      </c>
      <c r="N5" s="178" t="e">
        <f>+Totale!#REF!</f>
        <v>#REF!</v>
      </c>
      <c r="O5" s="178" t="e">
        <f>+Totale!#REF!</f>
        <v>#REF!</v>
      </c>
      <c r="P5" s="178" t="e">
        <f>+Totale!#REF!</f>
        <v>#REF!</v>
      </c>
      <c r="Q5" s="241" t="e">
        <f>+Totale!#REF!</f>
        <v>#REF!</v>
      </c>
      <c r="R5" s="178" t="e">
        <f>+Totale!#REF!</f>
        <v>#REF!</v>
      </c>
      <c r="S5" s="178" t="e">
        <f>+Totale!#REF!</f>
        <v>#REF!</v>
      </c>
      <c r="T5" s="178" t="e">
        <f>+Totale!#REF!</f>
        <v>#REF!</v>
      </c>
      <c r="U5" s="178" t="e">
        <f>+Totale!#REF!</f>
        <v>#REF!</v>
      </c>
      <c r="V5" s="288" t="e">
        <f>+Totale!#REF!</f>
        <v>#REF!</v>
      </c>
      <c r="W5" s="288" t="e">
        <f>+Totale!#REF!</f>
        <v>#REF!</v>
      </c>
      <c r="X5" s="244" t="e">
        <f>+Totale!#REF!</f>
        <v>#REF!</v>
      </c>
      <c r="Y5" s="244" t="e">
        <f>+Totale!#REF!</f>
        <v>#REF!</v>
      </c>
      <c r="Z5" s="13">
        <f t="shared" si="2"/>
        <v>62685.425485074622</v>
      </c>
    </row>
    <row r="6" spans="1:28" x14ac:dyDescent="0.3">
      <c r="A6" s="261" t="s">
        <v>49</v>
      </c>
      <c r="B6" s="262" t="s">
        <v>33</v>
      </c>
      <c r="C6" s="276" t="e">
        <f t="shared" si="0"/>
        <v>#REF!</v>
      </c>
      <c r="D6" s="276" t="e">
        <f t="shared" si="3"/>
        <v>#REF!</v>
      </c>
      <c r="E6" s="277" t="e">
        <f>+D6*12</f>
        <v>#REF!</v>
      </c>
      <c r="F6" s="278" t="e">
        <f t="shared" si="1"/>
        <v>#REF!</v>
      </c>
      <c r="G6" s="279">
        <f>+Totale!E75</f>
        <v>12847.199999999999</v>
      </c>
      <c r="H6" s="280" t="e">
        <f>+Totale!#REF!</f>
        <v>#REF!</v>
      </c>
      <c r="I6" s="276" t="e">
        <f>+Totale!#REF!</f>
        <v>#REF!</v>
      </c>
      <c r="J6" s="263" t="e">
        <f>+Totale!#REF!</f>
        <v>#REF!</v>
      </c>
      <c r="K6" s="274" t="e">
        <f>+Totale!#REF!</f>
        <v>#REF!</v>
      </c>
      <c r="L6" s="272" t="e">
        <f>+Totale!#REF!</f>
        <v>#REF!</v>
      </c>
      <c r="M6" s="271" t="e">
        <f>+Totale!#REF!</f>
        <v>#REF!</v>
      </c>
      <c r="N6" s="272" t="e">
        <f>+Totale!#REF!</f>
        <v>#REF!</v>
      </c>
      <c r="O6" s="273" t="e">
        <f>+Totale!#REF!</f>
        <v>#REF!</v>
      </c>
      <c r="P6" s="270" t="e">
        <f>+Totale!#REF!</f>
        <v>#REF!</v>
      </c>
      <c r="Q6" s="274" t="e">
        <f>+Totale!#REF!</f>
        <v>#REF!</v>
      </c>
      <c r="R6" s="272" t="e">
        <f>+Totale!#REF!</f>
        <v>#REF!</v>
      </c>
      <c r="S6" s="272" t="e">
        <f>+Totale!#REF!</f>
        <v>#REF!</v>
      </c>
      <c r="T6" s="272" t="e">
        <f>+Totale!#REF!</f>
        <v>#REF!</v>
      </c>
      <c r="U6" s="272" t="e">
        <f>+Totale!#REF!</f>
        <v>#REF!</v>
      </c>
      <c r="V6" s="275" t="e">
        <f>+Totale!#REF!</f>
        <v>#REF!</v>
      </c>
      <c r="W6" s="275" t="e">
        <f>+Totale!#REF!</f>
        <v>#REF!</v>
      </c>
      <c r="X6" s="275" t="e">
        <f>+Totale!#REF!</f>
        <v>#REF!</v>
      </c>
      <c r="Y6" s="275" t="e">
        <f>+Totale!#REF!</f>
        <v>#REF!</v>
      </c>
      <c r="Z6" s="13">
        <f t="shared" si="2"/>
        <v>62685.425485074622</v>
      </c>
      <c r="AA6" s="164"/>
    </row>
    <row r="7" spans="1:28" x14ac:dyDescent="0.3">
      <c r="A7" s="92" t="s">
        <v>50</v>
      </c>
      <c r="B7" s="84" t="s">
        <v>34</v>
      </c>
      <c r="C7" s="78" t="e">
        <f t="shared" si="0"/>
        <v>#REF!</v>
      </c>
      <c r="D7" s="253" t="e">
        <f t="shared" si="3"/>
        <v>#REF!</v>
      </c>
      <c r="E7" s="252" t="e">
        <f>+D7*12</f>
        <v>#REF!</v>
      </c>
      <c r="F7" s="75" t="e">
        <f t="shared" si="1"/>
        <v>#REF!</v>
      </c>
      <c r="G7" s="77">
        <f>+Totale!E76</f>
        <v>1946.2700000000004</v>
      </c>
      <c r="H7" s="78" t="e">
        <f>+Totale!#REF!</f>
        <v>#REF!</v>
      </c>
      <c r="I7" s="136" t="e">
        <f>+Totale!#REF!</f>
        <v>#REF!</v>
      </c>
      <c r="J7" s="159" t="e">
        <f>+Totale!#REF!</f>
        <v>#REF!</v>
      </c>
      <c r="K7" s="165" t="e">
        <f>+Totale!#REF!</f>
        <v>#REF!</v>
      </c>
      <c r="L7" s="177" t="e">
        <f>+Totale!#REF!</f>
        <v>#REF!</v>
      </c>
      <c r="M7" s="186" t="e">
        <f>+Totale!#REF!</f>
        <v>#REF!</v>
      </c>
      <c r="N7" s="177" t="e">
        <f>+Totale!#REF!</f>
        <v>#REF!</v>
      </c>
      <c r="O7" s="178" t="e">
        <f>+Totale!#REF!</f>
        <v>#REF!</v>
      </c>
      <c r="P7" s="177" t="e">
        <f>+Totale!#REF!</f>
        <v>#REF!</v>
      </c>
      <c r="Q7" s="165" t="e">
        <f>+Totale!#REF!</f>
        <v>#REF!</v>
      </c>
      <c r="R7" s="178" t="e">
        <f>+Totale!#REF!</f>
        <v>#REF!</v>
      </c>
      <c r="S7" s="178" t="e">
        <f>+Totale!#REF!</f>
        <v>#REF!</v>
      </c>
      <c r="T7" s="250" t="e">
        <f>+Totale!#REF!</f>
        <v>#REF!</v>
      </c>
      <c r="U7" s="178" t="e">
        <f>+Totale!#REF!</f>
        <v>#REF!</v>
      </c>
      <c r="V7" s="244" t="e">
        <f>+Totale!#REF!</f>
        <v>#REF!</v>
      </c>
      <c r="W7" s="244" t="e">
        <f>+Totale!#REF!</f>
        <v>#REF!</v>
      </c>
      <c r="X7" s="304" t="e">
        <f>+Totale!#REF!</f>
        <v>#REF!</v>
      </c>
      <c r="Y7" s="310" t="e">
        <f>+Totale!#REF!</f>
        <v>#REF!</v>
      </c>
      <c r="Z7" s="13">
        <f t="shared" si="2"/>
        <v>62685.425485074622</v>
      </c>
    </row>
    <row r="8" spans="1:28" x14ac:dyDescent="0.3">
      <c r="A8" s="92" t="s">
        <v>50</v>
      </c>
      <c r="B8" s="84" t="s">
        <v>35</v>
      </c>
      <c r="C8" s="78" t="e">
        <f t="shared" si="0"/>
        <v>#REF!</v>
      </c>
      <c r="D8" s="78" t="e">
        <f t="shared" si="3"/>
        <v>#REF!</v>
      </c>
      <c r="E8" s="81" t="e">
        <f>+D8*12</f>
        <v>#REF!</v>
      </c>
      <c r="F8" s="74" t="e">
        <f t="shared" si="1"/>
        <v>#REF!</v>
      </c>
      <c r="G8" s="160">
        <f>+Totale!E77</f>
        <v>0</v>
      </c>
      <c r="H8" s="247" t="e">
        <f>+Totale!#REF!</f>
        <v>#REF!</v>
      </c>
      <c r="I8" s="79" t="e">
        <f>+Totale!#REF!</f>
        <v>#REF!</v>
      </c>
      <c r="J8" s="129" t="e">
        <f>+Totale!#REF!</f>
        <v>#REF!</v>
      </c>
      <c r="K8" s="166" t="e">
        <f>+Totale!#REF!</f>
        <v>#REF!</v>
      </c>
      <c r="L8" s="178" t="e">
        <f>+Totale!#REF!</f>
        <v>#REF!</v>
      </c>
      <c r="M8" s="186" t="e">
        <f>+Totale!#REF!</f>
        <v>#REF!</v>
      </c>
      <c r="N8" s="244" t="e">
        <f>+Totale!#REF!</f>
        <v>#REF!</v>
      </c>
      <c r="O8" s="178" t="e">
        <f>+Totale!#REF!</f>
        <v>#REF!</v>
      </c>
      <c r="P8" s="178" t="e">
        <f>+Totale!#REF!</f>
        <v>#REF!</v>
      </c>
      <c r="Q8" s="166" t="e">
        <f>+Totale!#REF!</f>
        <v>#REF!</v>
      </c>
      <c r="R8" s="177" t="e">
        <f>+Totale!#REF!</f>
        <v>#REF!</v>
      </c>
      <c r="S8" s="136" t="e">
        <f>+Totale!#REF!</f>
        <v>#REF!</v>
      </c>
      <c r="T8" s="243" t="e">
        <f>+Totale!#REF!</f>
        <v>#REF!</v>
      </c>
      <c r="U8" s="177" t="e">
        <f>+Totale!#REF!</f>
        <v>#REF!</v>
      </c>
      <c r="V8" s="244" t="e">
        <f>+Totale!#REF!</f>
        <v>#REF!</v>
      </c>
      <c r="W8" s="244" t="e">
        <f>+Totale!#REF!</f>
        <v>#REF!</v>
      </c>
      <c r="X8" s="177" t="e">
        <f>+Totale!#REF!</f>
        <v>#REF!</v>
      </c>
      <c r="Y8" s="244" t="e">
        <f>+Totale!#REF!</f>
        <v>#REF!</v>
      </c>
      <c r="Z8" s="13">
        <f t="shared" si="2"/>
        <v>62685.425485074622</v>
      </c>
    </row>
    <row r="9" spans="1:28" x14ac:dyDescent="0.3">
      <c r="A9" s="315" t="s">
        <v>49</v>
      </c>
      <c r="B9" s="262" t="s">
        <v>36</v>
      </c>
      <c r="C9" s="276" t="e">
        <f t="shared" si="0"/>
        <v>#REF!</v>
      </c>
      <c r="D9" s="276" t="e">
        <f t="shared" si="3"/>
        <v>#REF!</v>
      </c>
      <c r="E9" s="277" t="e">
        <f t="shared" si="4"/>
        <v>#REF!</v>
      </c>
      <c r="F9" s="278" t="e">
        <f t="shared" si="1"/>
        <v>#REF!</v>
      </c>
      <c r="G9" s="281">
        <f>+Totale!E78</f>
        <v>1958.3900000000031</v>
      </c>
      <c r="H9" s="276" t="e">
        <f>+Totale!#REF!</f>
        <v>#REF!</v>
      </c>
      <c r="I9" s="276" t="e">
        <f>+Totale!#REF!</f>
        <v>#REF!</v>
      </c>
      <c r="J9" s="263" t="e">
        <f>+Totale!#REF!</f>
        <v>#REF!</v>
      </c>
      <c r="K9" s="274" t="e">
        <f>+Totale!#REF!</f>
        <v>#REF!</v>
      </c>
      <c r="L9" s="272" t="e">
        <f>+Totale!#REF!</f>
        <v>#REF!</v>
      </c>
      <c r="M9" s="271" t="e">
        <f>+Totale!#REF!</f>
        <v>#REF!</v>
      </c>
      <c r="N9" s="272" t="e">
        <f>+Totale!#REF!</f>
        <v>#REF!</v>
      </c>
      <c r="O9" s="282" t="e">
        <f>+Totale!#REF!</f>
        <v>#REF!</v>
      </c>
      <c r="P9" s="272" t="e">
        <f>+Totale!#REF!</f>
        <v>#REF!</v>
      </c>
      <c r="Q9" s="274" t="e">
        <f>+Totale!#REF!</f>
        <v>#REF!</v>
      </c>
      <c r="R9" s="283" t="e">
        <f>+Totale!#REF!</f>
        <v>#REF!</v>
      </c>
      <c r="S9" s="280" t="e">
        <f>+Totale!#REF!</f>
        <v>#REF!</v>
      </c>
      <c r="T9" s="270" t="e">
        <f>+Totale!#REF!</f>
        <v>#REF!</v>
      </c>
      <c r="U9" s="272" t="e">
        <f>+Totale!#REF!</f>
        <v>#REF!</v>
      </c>
      <c r="V9" s="275" t="e">
        <f>+Totale!#REF!</f>
        <v>#REF!</v>
      </c>
      <c r="W9" s="275" t="e">
        <f>+Totale!#REF!</f>
        <v>#REF!</v>
      </c>
      <c r="X9" s="275" t="e">
        <f>+Totale!#REF!</f>
        <v>#REF!</v>
      </c>
      <c r="Y9" s="275" t="e">
        <f>+Totale!#REF!</f>
        <v>#REF!</v>
      </c>
      <c r="Z9" s="13">
        <f t="shared" si="2"/>
        <v>62685.425485074622</v>
      </c>
    </row>
    <row r="10" spans="1:28" x14ac:dyDescent="0.3">
      <c r="A10" s="92" t="s">
        <v>50</v>
      </c>
      <c r="B10" s="84" t="s">
        <v>37</v>
      </c>
      <c r="C10" s="78" t="e">
        <f t="shared" si="0"/>
        <v>#REF!</v>
      </c>
      <c r="D10" s="78" t="e">
        <f t="shared" si="3"/>
        <v>#REF!</v>
      </c>
      <c r="E10" s="81" t="e">
        <f t="shared" si="4"/>
        <v>#REF!</v>
      </c>
      <c r="F10" s="74" t="e">
        <f t="shared" si="1"/>
        <v>#REF!</v>
      </c>
      <c r="G10" s="135">
        <f>+Totale!E79</f>
        <v>-26756.920000000002</v>
      </c>
      <c r="H10" s="79" t="e">
        <f>+Totale!#REF!</f>
        <v>#REF!</v>
      </c>
      <c r="I10" s="78" t="e">
        <f>+Totale!#REF!</f>
        <v>#REF!</v>
      </c>
      <c r="J10" s="129" t="e">
        <f>+Totale!#REF!</f>
        <v>#REF!</v>
      </c>
      <c r="K10" s="166" t="e">
        <f>+Totale!#REF!</f>
        <v>#REF!</v>
      </c>
      <c r="L10" s="178" t="e">
        <f>+Totale!#REF!</f>
        <v>#REF!</v>
      </c>
      <c r="M10" s="186" t="e">
        <f>+Totale!#REF!</f>
        <v>#REF!</v>
      </c>
      <c r="N10" s="212" t="e">
        <f>+Totale!#REF!</f>
        <v>#REF!</v>
      </c>
      <c r="O10" s="178" t="e">
        <f>+Totale!#REF!</f>
        <v>#REF!</v>
      </c>
      <c r="P10" s="178" t="e">
        <f>+Totale!#REF!</f>
        <v>#REF!</v>
      </c>
      <c r="Q10" s="166" t="e">
        <f>+Totale!#REF!</f>
        <v>#REF!</v>
      </c>
      <c r="R10" s="178" t="e">
        <f>+Totale!#REF!</f>
        <v>#REF!</v>
      </c>
      <c r="S10" s="178" t="e">
        <f>+Totale!#REF!</f>
        <v>#REF!</v>
      </c>
      <c r="T10" s="178" t="e">
        <f>+Totale!#REF!</f>
        <v>#REF!</v>
      </c>
      <c r="U10" s="178" t="e">
        <f>+Totale!#REF!</f>
        <v>#REF!</v>
      </c>
      <c r="V10" s="244" t="e">
        <f>+Totale!#REF!</f>
        <v>#REF!</v>
      </c>
      <c r="W10" s="244" t="e">
        <f>+Totale!#REF!</f>
        <v>#REF!</v>
      </c>
      <c r="X10" s="304" t="e">
        <f>+Totale!#REF!</f>
        <v>#REF!</v>
      </c>
      <c r="Y10" s="304" t="e">
        <f>+Totale!#REF!</f>
        <v>#REF!</v>
      </c>
      <c r="Z10" s="13">
        <f t="shared" si="2"/>
        <v>62685.425485074622</v>
      </c>
    </row>
    <row r="11" spans="1:28" x14ac:dyDescent="0.3">
      <c r="A11" s="92" t="s">
        <v>49</v>
      </c>
      <c r="B11" s="84" t="s">
        <v>38</v>
      </c>
      <c r="C11" s="78" t="e">
        <f t="shared" si="0"/>
        <v>#REF!</v>
      </c>
      <c r="D11" s="78" t="e">
        <f t="shared" si="3"/>
        <v>#REF!</v>
      </c>
      <c r="E11" s="81" t="e">
        <f t="shared" si="4"/>
        <v>#REF!</v>
      </c>
      <c r="F11" s="74" t="e">
        <f t="shared" si="1"/>
        <v>#REF!</v>
      </c>
      <c r="G11" s="248">
        <f>+Totale!E80</f>
        <v>0</v>
      </c>
      <c r="H11" s="78" t="e">
        <f>+Totale!#REF!</f>
        <v>#REF!</v>
      </c>
      <c r="I11" s="78" t="e">
        <f>+Totale!#REF!</f>
        <v>#REF!</v>
      </c>
      <c r="J11" s="129" t="e">
        <f>+Totale!#REF!</f>
        <v>#REF!</v>
      </c>
      <c r="K11" s="166" t="e">
        <f>+Totale!#REF!</f>
        <v>#REF!</v>
      </c>
      <c r="L11" s="178" t="e">
        <f>+Totale!#REF!</f>
        <v>#REF!</v>
      </c>
      <c r="M11" s="186" t="e">
        <f>+Totale!#REF!</f>
        <v>#REF!</v>
      </c>
      <c r="N11" s="178" t="e">
        <f>+Totale!#REF!</f>
        <v>#REF!</v>
      </c>
      <c r="O11" s="178" t="e">
        <f>+Totale!#REF!</f>
        <v>#REF!</v>
      </c>
      <c r="P11" s="212" t="e">
        <f>+Totale!#REF!</f>
        <v>#REF!</v>
      </c>
      <c r="Q11" s="165" t="e">
        <f>+Totale!#REF!</f>
        <v>#REF!</v>
      </c>
      <c r="R11" s="178" t="e">
        <f>+Totale!#REF!</f>
        <v>#REF!</v>
      </c>
      <c r="S11" s="136" t="e">
        <f>+Totale!#REF!</f>
        <v>#REF!</v>
      </c>
      <c r="T11" s="178" t="e">
        <f>+Totale!#REF!</f>
        <v>#REF!</v>
      </c>
      <c r="U11" s="178" t="e">
        <f>+Totale!#REF!</f>
        <v>#REF!</v>
      </c>
      <c r="V11" s="244" t="e">
        <f>+Totale!#REF!</f>
        <v>#REF!</v>
      </c>
      <c r="W11" s="244" t="e">
        <f>+Totale!#REF!</f>
        <v>#REF!</v>
      </c>
      <c r="X11" s="244" t="e">
        <f>+Totale!#REF!</f>
        <v>#REF!</v>
      </c>
      <c r="Y11" s="244" t="e">
        <f>+Totale!#REF!</f>
        <v>#REF!</v>
      </c>
      <c r="Z11" s="13">
        <f t="shared" si="2"/>
        <v>62685.425485074622</v>
      </c>
      <c r="AA11" s="164"/>
    </row>
    <row r="12" spans="1:28" x14ac:dyDescent="0.3">
      <c r="A12" s="261" t="s">
        <v>49</v>
      </c>
      <c r="B12" s="262" t="s">
        <v>39</v>
      </c>
      <c r="C12" s="276" t="e">
        <f t="shared" si="0"/>
        <v>#REF!</v>
      </c>
      <c r="D12" s="276" t="e">
        <f t="shared" si="3"/>
        <v>#REF!</v>
      </c>
      <c r="E12" s="277" t="e">
        <f t="shared" si="4"/>
        <v>#REF!</v>
      </c>
      <c r="F12" s="278" t="e">
        <f t="shared" si="1"/>
        <v>#REF!</v>
      </c>
      <c r="G12" s="279">
        <f>+Totale!E81</f>
        <v>0</v>
      </c>
      <c r="H12" s="284" t="e">
        <f>+Totale!#REF!</f>
        <v>#REF!</v>
      </c>
      <c r="I12" s="276" t="e">
        <f>+Totale!#REF!</f>
        <v>#REF!</v>
      </c>
      <c r="J12" s="263" t="e">
        <f>+Totale!#REF!</f>
        <v>#REF!</v>
      </c>
      <c r="K12" s="274" t="e">
        <f>+Totale!#REF!</f>
        <v>#REF!</v>
      </c>
      <c r="L12" s="272" t="e">
        <f>+Totale!#REF!</f>
        <v>#REF!</v>
      </c>
      <c r="M12" s="271" t="e">
        <f>+Totale!#REF!</f>
        <v>#REF!</v>
      </c>
      <c r="N12" s="272" t="e">
        <f>+Totale!#REF!</f>
        <v>#REF!</v>
      </c>
      <c r="O12" s="270" t="e">
        <f>+Totale!#REF!</f>
        <v>#REF!</v>
      </c>
      <c r="P12" s="275" t="e">
        <f>+Totale!#REF!</f>
        <v>#REF!</v>
      </c>
      <c r="Q12" s="274" t="e">
        <f>+Totale!#REF!</f>
        <v>#REF!</v>
      </c>
      <c r="R12" s="272" t="e">
        <f>+Totale!#REF!</f>
        <v>#REF!</v>
      </c>
      <c r="S12" s="285" t="e">
        <f>+Totale!#REF!</f>
        <v>#REF!</v>
      </c>
      <c r="T12" s="280" t="e">
        <f>+Totale!#REF!</f>
        <v>#REF!</v>
      </c>
      <c r="U12" s="272" t="e">
        <f>+Totale!#REF!</f>
        <v>#REF!</v>
      </c>
      <c r="V12" s="287" t="e">
        <f>+Totale!#REF!</f>
        <v>#REF!</v>
      </c>
      <c r="W12" s="287" t="e">
        <f>+Totale!#REF!</f>
        <v>#REF!</v>
      </c>
      <c r="X12" s="275" t="e">
        <f>+Totale!#REF!</f>
        <v>#REF!</v>
      </c>
      <c r="Y12" s="275" t="e">
        <f>+Totale!#REF!</f>
        <v>#REF!</v>
      </c>
      <c r="Z12" s="13">
        <f t="shared" si="2"/>
        <v>62685.425485074622</v>
      </c>
    </row>
    <row r="13" spans="1:28" x14ac:dyDescent="0.3">
      <c r="A13" s="108" t="s">
        <v>49</v>
      </c>
      <c r="B13" s="85" t="s">
        <v>40</v>
      </c>
      <c r="C13" s="80" t="e">
        <f t="shared" si="0"/>
        <v>#REF!</v>
      </c>
      <c r="D13" s="80" t="e">
        <f t="shared" si="3"/>
        <v>#REF!</v>
      </c>
      <c r="E13" s="82" t="e">
        <f t="shared" si="4"/>
        <v>#REF!</v>
      </c>
      <c r="F13" s="76" t="e">
        <f t="shared" si="1"/>
        <v>#REF!</v>
      </c>
      <c r="G13" s="245">
        <f>+Totale!E82</f>
        <v>0</v>
      </c>
      <c r="H13" s="80" t="e">
        <f>+Totale!#REF!</f>
        <v>#REF!</v>
      </c>
      <c r="I13" s="78" t="e">
        <f>+Totale!#REF!</f>
        <v>#REF!</v>
      </c>
      <c r="J13" s="129" t="e">
        <f>+Totale!#REF!</f>
        <v>#REF!</v>
      </c>
      <c r="K13" s="166" t="e">
        <f>+Totale!#REF!</f>
        <v>#REF!</v>
      </c>
      <c r="L13" s="215" t="e">
        <f>+Totale!#REF!</f>
        <v>#REF!</v>
      </c>
      <c r="M13" s="186" t="e">
        <f>+Totale!#REF!</f>
        <v>#REF!</v>
      </c>
      <c r="N13" s="178" t="e">
        <f>+Totale!#REF!</f>
        <v>#REF!</v>
      </c>
      <c r="O13" s="212" t="e">
        <f>+Totale!#REF!</f>
        <v>#REF!</v>
      </c>
      <c r="P13" s="178" t="e">
        <f>+Totale!#REF!</f>
        <v>#REF!</v>
      </c>
      <c r="Q13" s="166" t="e">
        <f>+Totale!#REF!</f>
        <v>#REF!</v>
      </c>
      <c r="R13" s="244" t="e">
        <f>+Totale!#REF!</f>
        <v>#REF!</v>
      </c>
      <c r="S13" s="136" t="e">
        <f>+Totale!#REF!</f>
        <v>#REF!</v>
      </c>
      <c r="T13" s="215" t="e">
        <f>+Totale!#REF!</f>
        <v>#REF!</v>
      </c>
      <c r="U13" s="244" t="e">
        <f>+Totale!#REF!</f>
        <v>#REF!</v>
      </c>
      <c r="V13" s="258" t="e">
        <f>+Totale!#REF!</f>
        <v>#REF!</v>
      </c>
      <c r="W13" s="275" t="e">
        <f>+Totale!#REF!</f>
        <v>#REF!</v>
      </c>
      <c r="X13" s="275" t="e">
        <f>+Totale!#REF!</f>
        <v>#REF!</v>
      </c>
      <c r="Y13" s="275" t="e">
        <f>+Totale!#REF!</f>
        <v>#REF!</v>
      </c>
      <c r="Z13" s="13">
        <f t="shared" si="2"/>
        <v>62685.425485074622</v>
      </c>
    </row>
    <row r="14" spans="1:28" ht="12.9" x14ac:dyDescent="0.35">
      <c r="A14" s="93"/>
      <c r="B14" s="187" t="s">
        <v>56</v>
      </c>
      <c r="C14" s="81" t="e">
        <f>SUM(C2:C13)</f>
        <v>#REF!</v>
      </c>
      <c r="D14" s="78" t="e">
        <f>AVERAGE(D2:D13)</f>
        <v>#REF!</v>
      </c>
      <c r="E14" s="81" t="e">
        <f>AVERAGE(E2:E13)</f>
        <v>#REF!</v>
      </c>
      <c r="F14" s="131" t="s">
        <v>55</v>
      </c>
      <c r="G14" s="300">
        <f>+(Totale!$C82)*365/321</f>
        <v>0</v>
      </c>
      <c r="H14" s="78" t="e">
        <f>+(Totale!#REF!-Totale!$C82)</f>
        <v>#REF!</v>
      </c>
      <c r="I14" s="120" t="e">
        <f>+(Totale!#REF!-Totale!#REF!)</f>
        <v>#REF!</v>
      </c>
      <c r="J14" s="132" t="e">
        <f>+(Totale!#REF!-Totale!#REF!)</f>
        <v>#REF!</v>
      </c>
      <c r="K14" s="132" t="e">
        <f>+(Totale!#REF!-Totale!#REF!)</f>
        <v>#REF!</v>
      </c>
      <c r="L14" s="132" t="e">
        <f>+Totale!#REF!-Totale!#REF!</f>
        <v>#REF!</v>
      </c>
      <c r="M14" s="120" t="e">
        <f>+Totale!#REF!-Totale!#REF!</f>
        <v>#REF!</v>
      </c>
      <c r="N14" s="120" t="e">
        <f>+Totale!#REF!-Totale!#REF!</f>
        <v>#REF!</v>
      </c>
      <c r="O14" s="298" t="e">
        <f t="shared" ref="O14:V14" si="5">SUM(O2:O13)</f>
        <v>#REF!</v>
      </c>
      <c r="P14" s="120" t="e">
        <f t="shared" si="5"/>
        <v>#REF!</v>
      </c>
      <c r="Q14" s="132" t="e">
        <f t="shared" si="5"/>
        <v>#REF!</v>
      </c>
      <c r="R14" s="120" t="e">
        <f t="shared" si="5"/>
        <v>#REF!</v>
      </c>
      <c r="S14" s="120" t="e">
        <f t="shared" si="5"/>
        <v>#REF!</v>
      </c>
      <c r="T14" s="120" t="e">
        <f t="shared" si="5"/>
        <v>#REF!</v>
      </c>
      <c r="U14" s="249" t="e">
        <f t="shared" si="5"/>
        <v>#REF!</v>
      </c>
      <c r="V14" s="249" t="e">
        <f t="shared" si="5"/>
        <v>#REF!</v>
      </c>
      <c r="W14" s="249" t="e">
        <f>SUM(W2:W13)</f>
        <v>#REF!</v>
      </c>
      <c r="X14" s="249" t="e">
        <f>SUM(X2:X13)</f>
        <v>#REF!</v>
      </c>
      <c r="Y14" s="249" t="e">
        <f>SUM(Y2:Y13)</f>
        <v>#REF!</v>
      </c>
      <c r="AA14" s="182" t="e">
        <f>+(Totale!#REF!-Totale!#REF!)/(Totale!#REF!-Totale!#REF!)*365</f>
        <v>#REF!</v>
      </c>
    </row>
    <row r="15" spans="1:28" x14ac:dyDescent="0.3">
      <c r="A15" s="94"/>
      <c r="B15" s="302">
        <v>36935</v>
      </c>
      <c r="C15" s="184">
        <f>MAX(Consumi!C:C)+7220</f>
        <v>34497</v>
      </c>
      <c r="D15" s="95">
        <f>+E15/12</f>
        <v>5223.7854570895515</v>
      </c>
      <c r="E15" s="96">
        <f>+F15*365.2425</f>
        <v>62685.425485074622</v>
      </c>
      <c r="F15" s="171">
        <f>+C15/(MAX(Consumi!B:B)-Consumi!B2)</f>
        <v>171.62686567164178</v>
      </c>
      <c r="G15" s="134">
        <v>23765.200000000001</v>
      </c>
      <c r="H15" s="97">
        <v>26383.947</v>
      </c>
      <c r="I15" s="97">
        <v>32151.495999999999</v>
      </c>
      <c r="J15" s="139">
        <v>40097.732999999993</v>
      </c>
      <c r="K15" s="97">
        <v>44818.548999999999</v>
      </c>
      <c r="L15" s="179">
        <v>52978.27</v>
      </c>
      <c r="M15" s="97">
        <v>49296.58799999996</v>
      </c>
      <c r="N15" s="297">
        <v>79498.539000000048</v>
      </c>
      <c r="O15" s="97">
        <v>78899.456999999995</v>
      </c>
      <c r="P15" s="97">
        <v>70048.584000000032</v>
      </c>
      <c r="Q15" s="139">
        <v>66266.876999999979</v>
      </c>
      <c r="R15" s="97">
        <v>56235.729999999981</v>
      </c>
      <c r="S15" s="97" t="e">
        <f>+Totale!#REF!</f>
        <v>#REF!</v>
      </c>
      <c r="T15" s="97" t="e">
        <f>+Totale!#REF!</f>
        <v>#REF!</v>
      </c>
      <c r="U15" s="97" t="e">
        <f>+Totale!#REF!</f>
        <v>#REF!</v>
      </c>
      <c r="V15" s="97" t="e">
        <f>+Totale!#REF!</f>
        <v>#REF!</v>
      </c>
      <c r="W15" s="97" t="e">
        <f>+Totale!#REF!</f>
        <v>#REF!</v>
      </c>
      <c r="X15" s="97" t="e">
        <f>+Totale!#REF!</f>
        <v>#REF!</v>
      </c>
      <c r="Y15" s="97" t="e">
        <f>+Totale!#REF!</f>
        <v>#REF!</v>
      </c>
      <c r="Z15" s="301">
        <v>42413</v>
      </c>
      <c r="AB15" s="183" t="e">
        <f>+((C15-SUM(G15:X15))/(MAX(Consumi!B:B)-Z15))*365</f>
        <v>#REF!</v>
      </c>
    </row>
    <row r="16" spans="1:28" x14ac:dyDescent="0.3">
      <c r="A16" s="117"/>
      <c r="B16" s="185" t="s">
        <v>53</v>
      </c>
      <c r="C16" s="118"/>
      <c r="D16" s="119"/>
      <c r="E16" s="119"/>
      <c r="F16" s="170"/>
      <c r="G16" s="121">
        <f>AVERAGE($G15:G15)</f>
        <v>23765.200000000001</v>
      </c>
      <c r="H16" s="122">
        <f>AVERAGE($G15:H15)</f>
        <v>25074.573499999999</v>
      </c>
      <c r="I16" s="122">
        <f>AVERAGE($G15:I15)</f>
        <v>27433.547666666665</v>
      </c>
      <c r="J16" s="140">
        <f>AVERAGE($G15:J15)</f>
        <v>30599.593999999997</v>
      </c>
      <c r="K16" s="140">
        <f>AVERAGE($G15:K15)</f>
        <v>33443.384999999995</v>
      </c>
      <c r="L16" s="140">
        <f>AVERAGE($G15:L15)</f>
        <v>36699.199166666665</v>
      </c>
      <c r="M16" s="122">
        <f>AVERAGE($G15:M15)</f>
        <v>38498.826142857135</v>
      </c>
      <c r="N16" s="122">
        <f>AVERAGE($G15:N15)</f>
        <v>43623.790249999998</v>
      </c>
      <c r="O16" s="122">
        <f>AVERAGE($G15:O15)</f>
        <v>47543.308777777776</v>
      </c>
      <c r="P16" s="122">
        <f>AVERAGE($G15:P15)</f>
        <v>49793.836300000003</v>
      </c>
      <c r="Q16" s="140">
        <f>AVERAGE($G15:Q15)</f>
        <v>51291.385454545452</v>
      </c>
      <c r="R16" s="122">
        <f>AVERAGE($G15:R15)</f>
        <v>51703.414166666662</v>
      </c>
      <c r="S16" s="122" t="e">
        <f>AVERAGE($G15:S15)</f>
        <v>#REF!</v>
      </c>
      <c r="T16" s="122" t="e">
        <f>AVERAGE($G15:T15)</f>
        <v>#REF!</v>
      </c>
      <c r="U16" s="122" t="e">
        <f>AVERAGE($G15:U15)</f>
        <v>#REF!</v>
      </c>
      <c r="V16" s="122" t="e">
        <f>AVERAGE($G15:V15)</f>
        <v>#REF!</v>
      </c>
      <c r="W16" s="122" t="e">
        <f>AVERAGE($G15:W15)</f>
        <v>#REF!</v>
      </c>
      <c r="X16" s="122" t="e">
        <f>AVERAGE($G15:X15)</f>
        <v>#REF!</v>
      </c>
      <c r="Y16" s="122" t="e">
        <f>AVERAGE($G15:Y15)</f>
        <v>#REF!</v>
      </c>
    </row>
    <row r="17" spans="1:29" x14ac:dyDescent="0.3">
      <c r="G17" s="164"/>
      <c r="H17" s="164"/>
      <c r="I17" s="164"/>
      <c r="J17" s="164"/>
      <c r="K17" s="164">
        <v>1</v>
      </c>
      <c r="L17" s="164">
        <v>2</v>
      </c>
      <c r="M17" s="71">
        <v>1</v>
      </c>
      <c r="N17" s="71">
        <v>4</v>
      </c>
      <c r="O17" s="71">
        <v>4</v>
      </c>
    </row>
    <row r="18" spans="1:29" x14ac:dyDescent="0.3">
      <c r="A18" s="112"/>
      <c r="B18" s="110" t="s">
        <v>41</v>
      </c>
      <c r="C18" s="111">
        <f>+C1</f>
        <v>19</v>
      </c>
      <c r="D18" s="88" t="s">
        <v>42</v>
      </c>
      <c r="E18" s="113" t="s">
        <v>43</v>
      </c>
      <c r="F18" s="24" t="s">
        <v>48</v>
      </c>
      <c r="H18" s="172"/>
      <c r="I18" s="172"/>
      <c r="J18" s="173"/>
      <c r="L18" s="73"/>
      <c r="M18" s="73"/>
      <c r="N18" s="73"/>
      <c r="O18" s="73"/>
      <c r="P18" s="73"/>
      <c r="T18" s="73"/>
      <c r="U18" s="73"/>
      <c r="V18" s="73"/>
      <c r="W18" s="73"/>
      <c r="X18" s="73"/>
      <c r="Z18" s="3" t="e">
        <f>+#REF!</f>
        <v>#REF!</v>
      </c>
      <c r="AA18" s="71"/>
    </row>
    <row r="19" spans="1:29" x14ac:dyDescent="0.3">
      <c r="A19" s="93">
        <v>1</v>
      </c>
      <c r="B19" s="72" t="s">
        <v>34</v>
      </c>
      <c r="C19" s="190">
        <v>147843.08600000024</v>
      </c>
      <c r="D19" s="78">
        <f t="shared" ref="D19:D30" si="6">+C19/C$1</f>
        <v>7781.2150526315918</v>
      </c>
      <c r="E19" s="81">
        <f t="shared" ref="E19:E30" si="7">+D19*12</f>
        <v>93374.580631579098</v>
      </c>
      <c r="F19" s="98">
        <f t="shared" ref="F19:F30" si="8">+C19/C$31*100</f>
        <v>15.973028108043163</v>
      </c>
      <c r="G19" s="164"/>
      <c r="H19" s="305"/>
      <c r="I19" s="174"/>
      <c r="J19" s="172"/>
      <c r="L19" s="72"/>
      <c r="M19" s="35"/>
      <c r="Q19" s="72"/>
      <c r="R19" s="72"/>
      <c r="AA19" s="71"/>
    </row>
    <row r="20" spans="1:29" x14ac:dyDescent="0.3">
      <c r="A20" s="93">
        <v>2</v>
      </c>
      <c r="B20" t="s">
        <v>35</v>
      </c>
      <c r="C20" s="190">
        <v>114549.35499999984</v>
      </c>
      <c r="D20" s="78">
        <f t="shared" si="6"/>
        <v>6028.9134210526227</v>
      </c>
      <c r="E20" s="81">
        <f t="shared" si="7"/>
        <v>72346.961052631465</v>
      </c>
      <c r="F20" s="98">
        <f t="shared" si="8"/>
        <v>12.37595965206793</v>
      </c>
      <c r="H20" s="128"/>
      <c r="L20" s="72"/>
      <c r="Q20" s="72"/>
      <c r="R20" s="72"/>
      <c r="AA20" s="71">
        <f>SUM(G15:M15)</f>
        <v>269491.78299999994</v>
      </c>
    </row>
    <row r="21" spans="1:29" x14ac:dyDescent="0.3">
      <c r="A21" s="93">
        <v>3</v>
      </c>
      <c r="B21" t="s">
        <v>37</v>
      </c>
      <c r="C21" s="190">
        <v>90694.579000000085</v>
      </c>
      <c r="D21" s="78">
        <f t="shared" si="6"/>
        <v>4773.3988947368462</v>
      </c>
      <c r="E21" s="81">
        <f t="shared" si="7"/>
        <v>57280.786736842158</v>
      </c>
      <c r="F21" s="98">
        <f t="shared" si="8"/>
        <v>9.7986797949695141</v>
      </c>
      <c r="G21" s="123">
        <v>1</v>
      </c>
      <c r="H21" s="124" t="s">
        <v>44</v>
      </c>
      <c r="I21" s="125" t="e">
        <f>SUM(D7:D9)</f>
        <v>#REF!</v>
      </c>
      <c r="J21" s="126" t="e">
        <f>+I21/I$25*100</f>
        <v>#REF!</v>
      </c>
      <c r="L21" s="72"/>
      <c r="AA21" s="71"/>
    </row>
    <row r="22" spans="1:29" x14ac:dyDescent="0.3">
      <c r="A22" s="93">
        <v>4</v>
      </c>
      <c r="B22" s="313" t="s">
        <v>31</v>
      </c>
      <c r="C22" s="312">
        <v>81987.294999999984</v>
      </c>
      <c r="D22" s="311">
        <f t="shared" si="6"/>
        <v>4315.1207894736835</v>
      </c>
      <c r="E22" s="100">
        <f t="shared" si="7"/>
        <v>51781.449473684203</v>
      </c>
      <c r="F22" s="98">
        <f t="shared" si="8"/>
        <v>8.8579412332980141</v>
      </c>
      <c r="G22" s="254">
        <v>2</v>
      </c>
      <c r="H22" s="255" t="s">
        <v>47</v>
      </c>
      <c r="I22" s="286" t="e">
        <f>SUM(D4:D6)</f>
        <v>#REF!</v>
      </c>
      <c r="J22" s="256" t="e">
        <f>+I22/I$25*100</f>
        <v>#REF!</v>
      </c>
      <c r="L22" s="86"/>
      <c r="AA22" s="71"/>
    </row>
    <row r="23" spans="1:29" x14ac:dyDescent="0.3">
      <c r="A23" s="306">
        <v>5</v>
      </c>
      <c r="B23" t="s">
        <v>33</v>
      </c>
      <c r="C23" s="190">
        <v>76293.519999999844</v>
      </c>
      <c r="D23" s="307">
        <f t="shared" si="6"/>
        <v>4015.4484210526234</v>
      </c>
      <c r="E23" s="307">
        <f t="shared" si="7"/>
        <v>48185.381052631477</v>
      </c>
      <c r="F23" s="308">
        <f t="shared" si="8"/>
        <v>8.2427834293282327</v>
      </c>
      <c r="G23" s="102">
        <v>3</v>
      </c>
      <c r="H23" s="83" t="s">
        <v>45</v>
      </c>
      <c r="I23" s="78" t="e">
        <f>SUM(D10:D12)</f>
        <v>#REF!</v>
      </c>
      <c r="J23" s="103" t="e">
        <f>+I23/I$25*100</f>
        <v>#REF!</v>
      </c>
      <c r="L23" s="72"/>
      <c r="Q23" s="72"/>
      <c r="R23" s="72"/>
      <c r="Z23" s="123">
        <v>1</v>
      </c>
      <c r="AA23" s="124" t="s">
        <v>44</v>
      </c>
      <c r="AB23" s="125" t="e">
        <f>SUM(D7:D9)</f>
        <v>#REF!</v>
      </c>
      <c r="AC23" s="126" t="e">
        <f>+AB23/AB$27*100</f>
        <v>#REF!</v>
      </c>
    </row>
    <row r="24" spans="1:29" x14ac:dyDescent="0.3">
      <c r="A24" s="93">
        <v>6</v>
      </c>
      <c r="B24" s="257" t="s">
        <v>32</v>
      </c>
      <c r="C24" s="190">
        <v>75922.021999999968</v>
      </c>
      <c r="D24" s="78">
        <f t="shared" si="6"/>
        <v>3995.8958947368405</v>
      </c>
      <c r="E24" s="81">
        <f t="shared" si="7"/>
        <v>47950.750736842085</v>
      </c>
      <c r="F24" s="98">
        <f t="shared" si="8"/>
        <v>8.2026466318855729</v>
      </c>
      <c r="G24" s="105">
        <v>4</v>
      </c>
      <c r="H24" s="87" t="s">
        <v>46</v>
      </c>
      <c r="I24" s="80" t="e">
        <f>SUM(D2+D3+D13)</f>
        <v>#REF!</v>
      </c>
      <c r="J24" s="104" t="e">
        <f>+I24/I$25*100</f>
        <v>#REF!</v>
      </c>
      <c r="L24" s="72"/>
      <c r="M24" s="72"/>
      <c r="N24" s="72"/>
      <c r="O24" s="72"/>
      <c r="P24" s="72"/>
      <c r="T24" s="72"/>
      <c r="U24" s="72"/>
      <c r="V24" s="72"/>
      <c r="W24" s="72"/>
      <c r="X24" s="72"/>
      <c r="Z24" s="102">
        <v>2</v>
      </c>
      <c r="AA24" s="83" t="s">
        <v>45</v>
      </c>
      <c r="AB24" s="222" t="e">
        <f>SUM(D10:D12)</f>
        <v>#REF!</v>
      </c>
      <c r="AC24" s="103" t="e">
        <f>+AB24/AB$27*100</f>
        <v>#REF!</v>
      </c>
    </row>
    <row r="25" spans="1:29" x14ac:dyDescent="0.3">
      <c r="A25" s="93">
        <v>7</v>
      </c>
      <c r="B25" t="s">
        <v>36</v>
      </c>
      <c r="C25" s="190">
        <v>74344.596999999922</v>
      </c>
      <c r="D25" s="78">
        <f t="shared" si="6"/>
        <v>3912.8735263157855</v>
      </c>
      <c r="E25" s="81">
        <f t="shared" si="7"/>
        <v>46954.482315789428</v>
      </c>
      <c r="F25" s="98">
        <f t="shared" si="8"/>
        <v>8.0322209830099069</v>
      </c>
      <c r="G25" s="163" t="s">
        <v>53</v>
      </c>
      <c r="H25" s="162" t="e">
        <f>+I25/4</f>
        <v>#REF!</v>
      </c>
      <c r="I25" s="107" t="e">
        <f>SUM(I21:I24)</f>
        <v>#REF!</v>
      </c>
      <c r="J25" s="106" t="s">
        <v>48</v>
      </c>
      <c r="L25" s="72"/>
      <c r="M25" s="72"/>
      <c r="N25" s="72"/>
      <c r="O25" s="72"/>
      <c r="P25" s="72"/>
      <c r="Q25"/>
      <c r="R25"/>
      <c r="T25" s="72"/>
      <c r="U25" s="72"/>
      <c r="V25" s="72"/>
      <c r="W25" s="72"/>
      <c r="X25" s="72"/>
      <c r="Z25" s="102">
        <v>3</v>
      </c>
      <c r="AA25" s="83" t="s">
        <v>46</v>
      </c>
      <c r="AB25" s="78" t="e">
        <f>SUM(D2+D3+D13)</f>
        <v>#REF!</v>
      </c>
      <c r="AC25" s="103" t="e">
        <f>+AB25/AB$27*100</f>
        <v>#REF!</v>
      </c>
    </row>
    <row r="26" spans="1:29" x14ac:dyDescent="0.3">
      <c r="A26" s="93">
        <v>8</v>
      </c>
      <c r="B26" t="s">
        <v>39</v>
      </c>
      <c r="C26" s="190">
        <v>66877.670000000231</v>
      </c>
      <c r="D26" s="68">
        <f t="shared" si="6"/>
        <v>3519.8773684210646</v>
      </c>
      <c r="E26" s="100">
        <f t="shared" si="7"/>
        <v>42238.528421052775</v>
      </c>
      <c r="F26" s="98">
        <f t="shared" si="8"/>
        <v>7.2254911041997394</v>
      </c>
      <c r="L26" s="72"/>
      <c r="M26" s="72"/>
      <c r="N26" s="72"/>
      <c r="O26" s="72"/>
      <c r="P26" s="72"/>
      <c r="Q26" s="72"/>
      <c r="R26" s="72"/>
      <c r="S26" s="72"/>
      <c r="T26" s="190"/>
      <c r="U26" s="72"/>
      <c r="V26" s="72"/>
      <c r="W26" s="72"/>
      <c r="X26" s="72"/>
      <c r="Z26" s="105">
        <v>4</v>
      </c>
      <c r="AA26" s="87" t="s">
        <v>47</v>
      </c>
      <c r="AB26" s="80" t="e">
        <f>SUM(D4:D6)</f>
        <v>#REF!</v>
      </c>
      <c r="AC26" s="104" t="e">
        <f>+AB26/AB$27*100</f>
        <v>#REF!</v>
      </c>
    </row>
    <row r="27" spans="1:29" x14ac:dyDescent="0.3">
      <c r="A27" s="93">
        <v>9</v>
      </c>
      <c r="B27" t="s">
        <v>38</v>
      </c>
      <c r="C27" s="190">
        <v>66485.025999999882</v>
      </c>
      <c r="D27" s="78">
        <f t="shared" si="6"/>
        <v>3499.2118947368358</v>
      </c>
      <c r="E27" s="81">
        <f t="shared" si="7"/>
        <v>41990.542736842028</v>
      </c>
      <c r="F27" s="98">
        <f t="shared" si="8"/>
        <v>7.1830696841783794</v>
      </c>
      <c r="L27" s="72"/>
      <c r="M27" s="72"/>
      <c r="N27" s="72"/>
      <c r="O27" s="72"/>
      <c r="P27" s="72"/>
      <c r="Q27"/>
      <c r="R27"/>
      <c r="S27"/>
      <c r="T27" s="190"/>
      <c r="U27" s="72"/>
      <c r="V27" s="72"/>
      <c r="W27" s="72"/>
      <c r="X27" s="72"/>
      <c r="Z27" s="163" t="s">
        <v>53</v>
      </c>
      <c r="AA27" s="162" t="e">
        <f>+AB27/4</f>
        <v>#REF!</v>
      </c>
      <c r="AB27" s="107" t="e">
        <f>SUM(AB23:AB26)</f>
        <v>#REF!</v>
      </c>
      <c r="AC27" s="106" t="s">
        <v>48</v>
      </c>
    </row>
    <row r="28" spans="1:29" x14ac:dyDescent="0.3">
      <c r="A28" s="93">
        <v>10</v>
      </c>
      <c r="B28" t="s">
        <v>40</v>
      </c>
      <c r="C28" s="190">
        <v>50853.715999999928</v>
      </c>
      <c r="D28" s="78">
        <f t="shared" si="6"/>
        <v>2676.5113684210487</v>
      </c>
      <c r="E28" s="81">
        <f t="shared" si="7"/>
        <v>32118.136421052586</v>
      </c>
      <c r="F28" s="98">
        <f t="shared" si="8"/>
        <v>5.4942564920921759</v>
      </c>
      <c r="L28" s="72"/>
      <c r="M28" s="72"/>
      <c r="N28" s="72"/>
      <c r="O28" s="72"/>
      <c r="P28" s="72"/>
      <c r="Q28" s="73"/>
      <c r="R28" s="73"/>
      <c r="S28"/>
      <c r="T28" s="190"/>
      <c r="U28" s="72"/>
      <c r="V28" s="72"/>
      <c r="W28" s="72"/>
      <c r="X28" s="72"/>
    </row>
    <row r="29" spans="1:29" x14ac:dyDescent="0.3">
      <c r="A29" s="93">
        <v>11</v>
      </c>
      <c r="B29" s="257" t="s">
        <v>54</v>
      </c>
      <c r="C29" s="190">
        <v>40873.474174454823</v>
      </c>
      <c r="D29" s="78">
        <f t="shared" si="6"/>
        <v>2151.2354828660432</v>
      </c>
      <c r="E29" s="81">
        <f t="shared" si="7"/>
        <v>25814.82579439252</v>
      </c>
      <c r="F29" s="98">
        <f t="shared" si="8"/>
        <v>4.4159870408951161</v>
      </c>
      <c r="L29" s="72"/>
      <c r="M29" s="72"/>
      <c r="N29" s="72"/>
      <c r="O29" s="72"/>
      <c r="P29" s="72"/>
      <c r="T29" s="190"/>
      <c r="U29" s="72"/>
      <c r="V29" s="72"/>
      <c r="W29" s="72"/>
      <c r="X29" s="72"/>
      <c r="AA29" s="71"/>
    </row>
    <row r="30" spans="1:29" x14ac:dyDescent="0.3">
      <c r="A30" s="94">
        <v>12</v>
      </c>
      <c r="B30" s="314" t="s">
        <v>30</v>
      </c>
      <c r="C30" s="190">
        <v>38855.23684735212</v>
      </c>
      <c r="D30" s="80">
        <f t="shared" si="6"/>
        <v>2045.0124656501116</v>
      </c>
      <c r="E30" s="82">
        <f t="shared" si="7"/>
        <v>24540.149587801337</v>
      </c>
      <c r="F30" s="114">
        <f t="shared" si="8"/>
        <v>4.1979358460322507</v>
      </c>
      <c r="L30" s="72"/>
      <c r="M30" s="72"/>
      <c r="N30" s="72"/>
      <c r="O30" s="72"/>
      <c r="P30" s="72"/>
      <c r="Q30" s="72"/>
      <c r="R30"/>
      <c r="S30"/>
      <c r="T30" s="190"/>
      <c r="U30" s="72"/>
      <c r="V30" s="72"/>
      <c r="W30" s="72"/>
      <c r="X30" s="72"/>
    </row>
    <row r="31" spans="1:29" x14ac:dyDescent="0.3">
      <c r="A31" s="99"/>
      <c r="B31" s="116"/>
      <c r="C31" s="101">
        <f>SUM(C19:C30)</f>
        <v>925579.57702180685</v>
      </c>
      <c r="D31" s="113">
        <f>AVERAGE(D19:D30)</f>
        <v>4059.5595483412585</v>
      </c>
      <c r="E31" s="89">
        <f>AVERAGE(E19:E30)</f>
        <v>48714.714580095089</v>
      </c>
      <c r="F31" s="161">
        <f>SUM(F19:F30)</f>
        <v>99.999999999999986</v>
      </c>
      <c r="L31"/>
      <c r="M31"/>
      <c r="N31"/>
      <c r="O31"/>
      <c r="P31"/>
      <c r="Q31"/>
      <c r="R31" s="72"/>
      <c r="T31" s="190"/>
      <c r="U31"/>
      <c r="V31"/>
      <c r="W31"/>
      <c r="X31"/>
    </row>
    <row r="32" spans="1:29" x14ac:dyDescent="0.3">
      <c r="A32" s="188"/>
      <c r="B32" s="117"/>
      <c r="C32" s="189"/>
      <c r="D32" s="180"/>
      <c r="E32" s="180"/>
      <c r="F32" s="86"/>
      <c r="L32"/>
      <c r="M32"/>
      <c r="N32"/>
      <c r="O32"/>
      <c r="P32"/>
      <c r="Q32"/>
      <c r="R32"/>
      <c r="S32"/>
      <c r="T32" s="190"/>
      <c r="U32"/>
      <c r="V32"/>
      <c r="W32"/>
      <c r="X32"/>
    </row>
    <row r="33" spans="1:24" x14ac:dyDescent="0.3">
      <c r="A33" s="188"/>
      <c r="B33" s="117"/>
      <c r="C33" s="189"/>
      <c r="D33" s="180"/>
      <c r="E33" s="180"/>
      <c r="F33" s="86"/>
      <c r="L33"/>
      <c r="M33"/>
      <c r="N33"/>
      <c r="O33"/>
      <c r="P33"/>
      <c r="Q33"/>
      <c r="R33"/>
      <c r="S33"/>
      <c r="T33" s="190"/>
      <c r="U33"/>
      <c r="V33"/>
      <c r="W33"/>
      <c r="X33"/>
    </row>
    <row r="34" spans="1:24" x14ac:dyDescent="0.3">
      <c r="A34" s="188"/>
      <c r="B34" s="117"/>
      <c r="C34" s="189"/>
      <c r="D34" s="180"/>
      <c r="E34" s="180"/>
      <c r="F34" s="86"/>
      <c r="L34"/>
      <c r="M34"/>
      <c r="N34"/>
      <c r="O34"/>
      <c r="P34"/>
      <c r="Q34"/>
      <c r="R34"/>
      <c r="S34"/>
      <c r="T34" s="190"/>
      <c r="U34"/>
      <c r="V34"/>
      <c r="W34"/>
      <c r="X34"/>
    </row>
    <row r="35" spans="1:24" x14ac:dyDescent="0.3">
      <c r="A35" s="188"/>
      <c r="B35" s="117"/>
      <c r="C35" s="189"/>
      <c r="D35" s="180"/>
      <c r="E35" s="180"/>
      <c r="F35" s="86"/>
      <c r="L35"/>
      <c r="M35"/>
      <c r="N35"/>
      <c r="O35"/>
      <c r="P35"/>
      <c r="Q35"/>
      <c r="R35"/>
      <c r="S35"/>
      <c r="T35" s="190"/>
      <c r="U35"/>
      <c r="V35"/>
      <c r="W35"/>
      <c r="X35"/>
    </row>
    <row r="36" spans="1:24" x14ac:dyDescent="0.3">
      <c r="A36" s="188"/>
      <c r="B36" s="117"/>
      <c r="C36" s="189"/>
      <c r="D36" s="180"/>
      <c r="E36" s="180"/>
      <c r="F36" s="86"/>
      <c r="L36"/>
      <c r="M36"/>
      <c r="N36"/>
      <c r="O36"/>
      <c r="P36"/>
      <c r="Q36"/>
      <c r="R36"/>
      <c r="T36" s="190"/>
      <c r="U36"/>
      <c r="V36"/>
      <c r="W36"/>
      <c r="X36"/>
    </row>
    <row r="37" spans="1:24" x14ac:dyDescent="0.3">
      <c r="A37" s="188"/>
      <c r="B37" s="117"/>
      <c r="C37" s="189"/>
      <c r="D37" s="180"/>
      <c r="E37" s="180"/>
      <c r="F37" s="86"/>
      <c r="L37"/>
      <c r="M37"/>
      <c r="N37"/>
      <c r="O37"/>
      <c r="P37"/>
      <c r="Q37"/>
      <c r="R37"/>
      <c r="T37" s="190"/>
      <c r="U37"/>
      <c r="V37"/>
      <c r="W37"/>
      <c r="X37"/>
    </row>
    <row r="38" spans="1:24" x14ac:dyDescent="0.3">
      <c r="A38" s="188"/>
      <c r="B38" s="117"/>
      <c r="C38" s="189"/>
      <c r="D38" s="180"/>
      <c r="E38" s="180"/>
      <c r="F38" s="86"/>
      <c r="L38"/>
      <c r="M38"/>
      <c r="N38"/>
      <c r="O38"/>
      <c r="P38"/>
      <c r="Q38"/>
      <c r="R38" s="72"/>
      <c r="S38" s="72"/>
      <c r="T38"/>
      <c r="U38"/>
      <c r="V38"/>
      <c r="W38"/>
      <c r="X38"/>
    </row>
    <row r="39" spans="1:24" x14ac:dyDescent="0.3">
      <c r="A39" s="188"/>
      <c r="B39" s="117"/>
      <c r="C39" s="189"/>
      <c r="D39" s="180"/>
      <c r="E39" s="180"/>
      <c r="F39" s="86"/>
      <c r="L39"/>
      <c r="M39"/>
      <c r="N39"/>
      <c r="O39"/>
      <c r="P39"/>
      <c r="Q39"/>
      <c r="R39"/>
      <c r="S39"/>
      <c r="T39"/>
      <c r="U39"/>
      <c r="V39"/>
      <c r="W39"/>
      <c r="X39"/>
    </row>
    <row r="40" spans="1:24" x14ac:dyDescent="0.3">
      <c r="A40" s="188"/>
      <c r="B40" s="117"/>
      <c r="C40" s="189"/>
      <c r="D40" s="180"/>
      <c r="E40" s="180"/>
      <c r="F40" s="86"/>
      <c r="L40"/>
      <c r="M40"/>
      <c r="N40"/>
      <c r="O40"/>
      <c r="P40"/>
      <c r="Q40"/>
      <c r="R40"/>
      <c r="S40"/>
      <c r="T40"/>
      <c r="U40"/>
      <c r="V40"/>
      <c r="W40"/>
      <c r="X40"/>
    </row>
    <row r="41" spans="1:24" x14ac:dyDescent="0.3">
      <c r="A41" s="188"/>
      <c r="B41" s="117"/>
      <c r="C41" s="189"/>
      <c r="D41" s="180"/>
      <c r="E41" s="180"/>
      <c r="F41" s="86"/>
      <c r="L41"/>
      <c r="M41"/>
      <c r="N41"/>
      <c r="O41"/>
      <c r="P41"/>
      <c r="Q41"/>
      <c r="R41"/>
      <c r="S41"/>
      <c r="T41"/>
      <c r="U41"/>
      <c r="V41"/>
      <c r="W41"/>
      <c r="X41"/>
    </row>
    <row r="42" spans="1:24" x14ac:dyDescent="0.3">
      <c r="A42" s="188"/>
      <c r="B42" s="117"/>
      <c r="C42" s="189"/>
      <c r="D42" s="180"/>
      <c r="E42" s="180"/>
      <c r="F42" s="86"/>
      <c r="L42"/>
      <c r="M42"/>
      <c r="N42"/>
      <c r="O42"/>
      <c r="P42"/>
      <c r="Q42"/>
      <c r="R42"/>
      <c r="S42"/>
      <c r="T42"/>
      <c r="U42"/>
      <c r="V42"/>
      <c r="W42"/>
      <c r="X42"/>
    </row>
    <row r="43" spans="1:24" x14ac:dyDescent="0.3">
      <c r="A43" s="188"/>
      <c r="B43" s="117"/>
      <c r="C43" s="189"/>
      <c r="D43" s="180"/>
      <c r="E43" s="180"/>
      <c r="F43" s="86"/>
      <c r="L43"/>
      <c r="M43"/>
      <c r="N43"/>
      <c r="O43"/>
      <c r="P43"/>
      <c r="Q43"/>
      <c r="R43"/>
      <c r="S43"/>
      <c r="T43"/>
      <c r="U43"/>
      <c r="V43"/>
      <c r="W43"/>
      <c r="X43"/>
    </row>
    <row r="44" spans="1:24" x14ac:dyDescent="0.3">
      <c r="A44" s="188"/>
      <c r="B44" s="117"/>
      <c r="C44" s="189"/>
      <c r="D44" s="180"/>
      <c r="E44" s="180"/>
      <c r="F44" s="86"/>
      <c r="L44"/>
      <c r="M44"/>
      <c r="N44"/>
      <c r="O44"/>
      <c r="P44"/>
      <c r="Q44"/>
      <c r="R44"/>
      <c r="S44"/>
      <c r="T44"/>
      <c r="U44"/>
      <c r="V44"/>
      <c r="W44"/>
      <c r="X44"/>
    </row>
    <row r="45" spans="1:24" x14ac:dyDescent="0.3">
      <c r="A45" s="188"/>
      <c r="B45" s="117"/>
      <c r="C45" s="189"/>
      <c r="D45" s="180"/>
      <c r="E45" s="180"/>
      <c r="F45" s="86"/>
      <c r="L45"/>
      <c r="M45"/>
      <c r="N45"/>
      <c r="O45"/>
      <c r="P45"/>
      <c r="Q45"/>
      <c r="R45"/>
      <c r="S45"/>
      <c r="T45"/>
      <c r="U45"/>
      <c r="V45"/>
      <c r="W45"/>
      <c r="X45"/>
    </row>
    <row r="46" spans="1:24" x14ac:dyDescent="0.3">
      <c r="A46" s="188"/>
      <c r="B46" s="117"/>
      <c r="C46" s="189"/>
      <c r="D46" s="180"/>
      <c r="E46" s="180"/>
      <c r="F46" s="86"/>
      <c r="L46"/>
      <c r="M46"/>
      <c r="N46"/>
      <c r="O46"/>
      <c r="P46"/>
      <c r="Q46"/>
      <c r="R46"/>
      <c r="S46"/>
      <c r="T46"/>
      <c r="U46"/>
      <c r="V46"/>
      <c r="W46"/>
      <c r="X46"/>
    </row>
    <row r="47" spans="1:24" x14ac:dyDescent="0.3">
      <c r="A47" s="188"/>
      <c r="B47" s="117"/>
      <c r="C47" s="189"/>
      <c r="D47" s="180"/>
      <c r="E47" s="180"/>
      <c r="F47" s="86"/>
      <c r="L47"/>
      <c r="M47"/>
      <c r="N47"/>
      <c r="O47"/>
      <c r="P47"/>
      <c r="Q47"/>
      <c r="R47"/>
      <c r="S47"/>
      <c r="T47"/>
      <c r="U47"/>
      <c r="V47"/>
      <c r="W47"/>
      <c r="X47"/>
    </row>
    <row r="48" spans="1:24" x14ac:dyDescent="0.3">
      <c r="A48" s="188"/>
      <c r="B48" s="117"/>
      <c r="C48" s="189"/>
      <c r="D48" s="180"/>
      <c r="E48" s="180"/>
      <c r="F48" s="86"/>
      <c r="L48"/>
      <c r="M48"/>
      <c r="N48"/>
      <c r="O48"/>
      <c r="P48"/>
      <c r="Q48"/>
      <c r="R48"/>
      <c r="S48"/>
      <c r="T48"/>
      <c r="U48"/>
      <c r="V48"/>
      <c r="W48"/>
      <c r="X48"/>
    </row>
    <row r="49" spans="1:24" x14ac:dyDescent="0.3">
      <c r="A49" s="188"/>
      <c r="B49" s="117"/>
      <c r="C49" s="189"/>
      <c r="D49" s="180"/>
      <c r="E49" s="180"/>
      <c r="F49" s="86"/>
      <c r="L49"/>
      <c r="M49"/>
      <c r="N49"/>
      <c r="O49"/>
      <c r="P49"/>
      <c r="Q49"/>
      <c r="R49"/>
      <c r="S49"/>
      <c r="T49"/>
      <c r="U49"/>
      <c r="V49"/>
      <c r="W49"/>
      <c r="X49"/>
    </row>
    <row r="50" spans="1:24" x14ac:dyDescent="0.3">
      <c r="A50" s="188"/>
      <c r="B50" s="117"/>
      <c r="C50" s="189"/>
      <c r="D50" s="180"/>
      <c r="E50" s="180"/>
      <c r="F50" s="86"/>
      <c r="L50"/>
      <c r="M50"/>
      <c r="N50"/>
      <c r="O50"/>
      <c r="P50"/>
      <c r="Q50"/>
      <c r="R50"/>
      <c r="S50"/>
      <c r="T50"/>
      <c r="U50"/>
      <c r="V50"/>
      <c r="W50"/>
      <c r="X50"/>
    </row>
    <row r="51" spans="1:24" x14ac:dyDescent="0.3">
      <c r="A51" s="188"/>
      <c r="B51" s="117"/>
      <c r="C51" s="189"/>
      <c r="D51" s="180"/>
      <c r="E51" s="180"/>
      <c r="F51" s="86"/>
      <c r="L51"/>
      <c r="M51"/>
      <c r="N51"/>
      <c r="O51"/>
      <c r="P51"/>
      <c r="Q51"/>
      <c r="R51"/>
      <c r="S51"/>
      <c r="T51"/>
      <c r="U51"/>
      <c r="V51"/>
      <c r="W51"/>
      <c r="X51"/>
    </row>
    <row r="52" spans="1:24" x14ac:dyDescent="0.3">
      <c r="A52" s="188"/>
      <c r="B52" s="117"/>
      <c r="C52" s="189"/>
      <c r="D52" s="180"/>
      <c r="E52" s="180"/>
      <c r="F52" s="86"/>
      <c r="L52"/>
      <c r="M52"/>
      <c r="N52"/>
      <c r="O52"/>
      <c r="P52"/>
      <c r="Q52"/>
      <c r="R52"/>
      <c r="S52"/>
      <c r="T52"/>
      <c r="U52"/>
      <c r="V52"/>
      <c r="W52"/>
      <c r="X52"/>
    </row>
    <row r="53" spans="1:24" x14ac:dyDescent="0.3">
      <c r="A53" s="188"/>
      <c r="B53" s="117"/>
      <c r="C53" s="189"/>
      <c r="D53" s="180"/>
      <c r="E53" s="180"/>
      <c r="F53" s="86"/>
      <c r="L53"/>
      <c r="M53"/>
      <c r="N53"/>
      <c r="O53"/>
      <c r="P53"/>
      <c r="Q53"/>
      <c r="R53"/>
      <c r="S53"/>
      <c r="T53"/>
      <c r="U53"/>
      <c r="V53"/>
      <c r="W53"/>
      <c r="X53"/>
    </row>
    <row r="54" spans="1:24" x14ac:dyDescent="0.3">
      <c r="A54" s="188"/>
      <c r="B54" s="117"/>
      <c r="C54" s="189"/>
      <c r="D54" s="180"/>
      <c r="E54" s="180"/>
      <c r="F54" s="86"/>
      <c r="L54"/>
      <c r="M54"/>
      <c r="N54"/>
      <c r="O54"/>
      <c r="P54"/>
      <c r="Q54"/>
      <c r="R54"/>
      <c r="S54"/>
      <c r="T54"/>
      <c r="U54"/>
      <c r="V54"/>
      <c r="W54"/>
      <c r="X54"/>
    </row>
    <row r="55" spans="1:24" x14ac:dyDescent="0.3">
      <c r="A55" s="188"/>
      <c r="B55" s="117"/>
      <c r="C55" s="189"/>
      <c r="D55" s="180"/>
      <c r="E55" s="180"/>
      <c r="F55" s="86"/>
      <c r="L55"/>
      <c r="M55"/>
      <c r="N55"/>
      <c r="O55"/>
      <c r="P55"/>
      <c r="Q55"/>
      <c r="R55"/>
      <c r="S55"/>
      <c r="T55"/>
      <c r="U55"/>
      <c r="V55"/>
      <c r="W55"/>
      <c r="X55"/>
    </row>
    <row r="91" spans="15:15" x14ac:dyDescent="0.3">
      <c r="O91" s="257"/>
    </row>
  </sheetData>
  <phoneticPr fontId="2" type="noConversion"/>
  <pageMargins left="0" right="0" top="0.31496062992125984" bottom="0.31496062992125984" header="0" footer="0"/>
  <pageSetup paperSize="9" scale="77" fitToHeight="99" orientation="landscape" r:id="rId1"/>
  <headerFooter alignWithMargins="0">
    <oddHeader>&amp;H</oddHeader>
  </headerFooter>
  <cellWatches>
    <cellWatch r="Z15"/>
  </cellWatches>
  <ignoredErrors>
    <ignoredError sqref="M16" formulaRange="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topLeftCell="A22" workbookViewId="0"/>
  </sheetViews>
  <sheetFormatPr defaultRowHeight="12.45" x14ac:dyDescent="0.3"/>
  <cols>
    <col min="1" max="1" width="9.53515625" style="219" bestFit="1" customWidth="1"/>
    <col min="2" max="2" width="121.15234375" style="218" customWidth="1"/>
  </cols>
  <sheetData>
    <row r="1" spans="1:2" x14ac:dyDescent="0.3">
      <c r="A1" s="220" t="s">
        <v>57</v>
      </c>
    </row>
    <row r="2" spans="1:2" ht="38.25" customHeight="1" x14ac:dyDescent="0.3">
      <c r="A2" s="219" t="s">
        <v>60</v>
      </c>
      <c r="B2" s="217" t="s">
        <v>59</v>
      </c>
    </row>
    <row r="3" spans="1:2" x14ac:dyDescent="0.3">
      <c r="A3" s="219" t="s">
        <v>61</v>
      </c>
      <c r="B3" s="217" t="s">
        <v>80</v>
      </c>
    </row>
    <row r="4" spans="1:2" x14ac:dyDescent="0.3">
      <c r="A4" s="219" t="s">
        <v>62</v>
      </c>
      <c r="B4" s="217" t="s">
        <v>81</v>
      </c>
    </row>
    <row r="5" spans="1:2" ht="87" x14ac:dyDescent="0.3">
      <c r="A5" s="219" t="s">
        <v>63</v>
      </c>
      <c r="B5" s="223" t="s">
        <v>85</v>
      </c>
    </row>
    <row r="6" spans="1:2" ht="87" x14ac:dyDescent="0.3">
      <c r="B6" s="223" t="s">
        <v>84</v>
      </c>
    </row>
    <row r="7" spans="1:2" ht="74.599999999999994" x14ac:dyDescent="0.3">
      <c r="B7" s="223" t="s">
        <v>86</v>
      </c>
    </row>
    <row r="8" spans="1:2" x14ac:dyDescent="0.3">
      <c r="B8" s="217" t="s">
        <v>58</v>
      </c>
    </row>
    <row r="9" spans="1:2" x14ac:dyDescent="0.3">
      <c r="A9" s="219" t="s">
        <v>64</v>
      </c>
      <c r="B9" s="217" t="s">
        <v>82</v>
      </c>
    </row>
    <row r="10" spans="1:2" x14ac:dyDescent="0.3">
      <c r="A10" s="219" t="s">
        <v>65</v>
      </c>
      <c r="B10" s="217" t="s">
        <v>83</v>
      </c>
    </row>
    <row r="11" spans="1:2" ht="24.9" x14ac:dyDescent="0.3">
      <c r="A11" s="219" t="s">
        <v>66</v>
      </c>
      <c r="B11" s="217" t="s">
        <v>0</v>
      </c>
    </row>
    <row r="12" spans="1:2" ht="24.9" x14ac:dyDescent="0.3">
      <c r="A12" s="219" t="s">
        <v>67</v>
      </c>
      <c r="B12" s="217" t="s">
        <v>1</v>
      </c>
    </row>
    <row r="13" spans="1:2" x14ac:dyDescent="0.3">
      <c r="A13" s="219" t="s">
        <v>68</v>
      </c>
      <c r="B13" s="217" t="s">
        <v>2</v>
      </c>
    </row>
    <row r="14" spans="1:2" x14ac:dyDescent="0.3">
      <c r="A14" s="219" t="s">
        <v>71</v>
      </c>
      <c r="B14" s="217" t="s">
        <v>3</v>
      </c>
    </row>
    <row r="15" spans="1:2" ht="37.299999999999997" x14ac:dyDescent="0.3">
      <c r="A15" s="219" t="s">
        <v>72</v>
      </c>
      <c r="B15" s="217" t="s">
        <v>4</v>
      </c>
    </row>
    <row r="16" spans="1:2" ht="12.75" customHeight="1" x14ac:dyDescent="0.3">
      <c r="A16" s="219" t="s">
        <v>69</v>
      </c>
      <c r="B16" s="217" t="s">
        <v>5</v>
      </c>
    </row>
    <row r="17" spans="1:2" ht="24.9" x14ac:dyDescent="0.3">
      <c r="A17" s="219" t="s">
        <v>70</v>
      </c>
      <c r="B17" s="217" t="s">
        <v>6</v>
      </c>
    </row>
    <row r="18" spans="1:2" ht="38.9" customHeight="1" x14ac:dyDescent="0.3">
      <c r="A18" s="219" t="s">
        <v>73</v>
      </c>
      <c r="B18" s="217" t="s">
        <v>7</v>
      </c>
    </row>
    <row r="19" spans="1:2" x14ac:dyDescent="0.3">
      <c r="B19" s="217"/>
    </row>
    <row r="20" spans="1:2" x14ac:dyDescent="0.3">
      <c r="A20" s="220" t="s">
        <v>74</v>
      </c>
      <c r="B20" s="217"/>
    </row>
    <row r="21" spans="1:2" ht="24.9" x14ac:dyDescent="0.3">
      <c r="B21" s="217" t="s">
        <v>76</v>
      </c>
    </row>
    <row r="22" spans="1:2" x14ac:dyDescent="0.3">
      <c r="B22" s="217"/>
    </row>
    <row r="23" spans="1:2" x14ac:dyDescent="0.3">
      <c r="A23" s="220" t="s">
        <v>75</v>
      </c>
      <c r="B23" s="217"/>
    </row>
    <row r="24" spans="1:2" ht="24.9" x14ac:dyDescent="0.3">
      <c r="B24" s="217" t="s">
        <v>77</v>
      </c>
    </row>
    <row r="25" spans="1:2" x14ac:dyDescent="0.3">
      <c r="B25" s="217"/>
    </row>
    <row r="26" spans="1:2" x14ac:dyDescent="0.3">
      <c r="A26" s="220" t="s">
        <v>79</v>
      </c>
      <c r="B26" s="217"/>
    </row>
    <row r="27" spans="1:2" x14ac:dyDescent="0.3">
      <c r="B27" s="217" t="s">
        <v>78</v>
      </c>
    </row>
  </sheetData>
  <phoneticPr fontId="2" type="noConversion"/>
  <printOptions gridLines="1" gridLinesSet="0"/>
  <pageMargins left="0.78740157480314965" right="0.78740157480314965" top="0.78740157480314965" bottom="0.59055118110236227" header="0.51181102362204722" footer="0.31496062992125984"/>
  <pageSetup paperSize="9" orientation="landscape" horizontalDpi="4294967293" r:id="rId1"/>
  <headerFooter alignWithMargins="0">
    <oddHeader>&amp;A</oddHead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45" x14ac:dyDescent="0.3"/>
  <sheetData/>
  <phoneticPr fontId="2" type="noConversion"/>
  <printOptions gridLines="1" gridLinesSet="0"/>
  <pageMargins left="0.75" right="0.75" top="1" bottom="1" header="0.5" footer="0.5"/>
  <pageSetup paperSize="9" orientation="portrait" r:id="rId1"/>
  <headerFooter alignWithMargins="0">
    <oddHeader>&amp;A</oddHeader>
    <oddFooter>Pagina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45" x14ac:dyDescent="0.3"/>
  <sheetData/>
  <phoneticPr fontId="2" type="noConversion"/>
  <printOptions gridLines="1" gridLinesSet="0"/>
  <pageMargins left="0.75" right="0.75" top="1" bottom="1" header="0.5" footer="0.5"/>
  <pageSetup paperSize="9" orientation="portrait" r:id="rId1"/>
  <headerFooter alignWithMargins="0">
    <oddHeader>&amp;A</oddHeader>
    <oddFooter>Pagina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6</vt:i4>
      </vt:variant>
      <vt:variant>
        <vt:lpstr>Intervalli denominati</vt:lpstr>
      </vt:variant>
      <vt:variant>
        <vt:i4>4</vt:i4>
      </vt:variant>
    </vt:vector>
  </HeadingPairs>
  <TitlesOfParts>
    <vt:vector size="10" baseType="lpstr">
      <vt:lpstr>Consumi</vt:lpstr>
      <vt:lpstr>Totale</vt:lpstr>
      <vt:lpstr>Mesi</vt:lpstr>
      <vt:lpstr>Spiegazioni</vt:lpstr>
      <vt:lpstr>Foglio15</vt:lpstr>
      <vt:lpstr>Foglio16</vt:lpstr>
      <vt:lpstr>Consumi!Area_stampa</vt:lpstr>
      <vt:lpstr>Mesi!Area_stampa</vt:lpstr>
      <vt:lpstr>Totale!Area_stampa</vt:lpstr>
      <vt:lpstr>Consumi!Titoli_stampa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consumi moto</dc:title>
  <dc:creator>Marcello Anglana</dc:creator>
  <cp:lastModifiedBy>Marcello</cp:lastModifiedBy>
  <cp:lastPrinted>2018-10-15T13:37:27Z</cp:lastPrinted>
  <dcterms:created xsi:type="dcterms:W3CDTF">2001-01-18T10:40:10Z</dcterms:created>
  <dcterms:modified xsi:type="dcterms:W3CDTF">2018-10-15T17:13:17Z</dcterms:modified>
</cp:coreProperties>
</file>